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A5CD351-137C-4F9D-B3F8-699E0E3C56C6}" xr6:coauthVersionLast="47" xr6:coauthVersionMax="47" xr10:uidLastSave="{00000000-0000-0000-0000-000000000000}"/>
  <bookViews>
    <workbookView xWindow="-120" yWindow="-120" windowWidth="29040" windowHeight="15840"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 l="1"/>
  <c r="J8" i="6" l="1"/>
  <c r="J9" i="6"/>
  <c r="D63" i="2"/>
  <c r="B72" i="6"/>
  <c r="Q3" i="2"/>
  <c r="U61" i="2"/>
  <c r="S61" i="2"/>
  <c r="P61" i="2"/>
  <c r="U4" i="2"/>
  <c r="S4" i="2"/>
  <c r="P4" i="2"/>
  <c r="C11" i="6"/>
  <c r="J10" i="6" l="1"/>
  <c r="J11" i="6" s="1"/>
  <c r="L8" i="2"/>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 r="I25" i="6"/>
  <c r="C25" i="6"/>
</calcChain>
</file>

<file path=xl/sharedStrings.xml><?xml version="1.0" encoding="utf-8"?>
<sst xmlns="http://schemas.openxmlformats.org/spreadsheetml/2006/main" count="436" uniqueCount="269">
  <si>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</si>
  <si>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</si>
  <si>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</si>
  <si>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</si>
  <si>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</si>
  <si>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</si>
  <si>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</si>
  <si>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</si>
  <si>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</si>
  <si>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</si>
  <si>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</si>
  <si>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</si>
  <si>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</si>
  <si>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</si>
  <si>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</si>
  <si>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</si>
  <si>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</si>
  <si>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</si>
  <si>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</si>
  <si>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</si>
  <si>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</si>
  <si>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</si>
  <si>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</si>
  <si>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</si>
  <si>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</si>
  <si>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</si>
  <si>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</si>
  <si>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</si>
  <si>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</si>
  <si>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</si>
  <si>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</si>
  <si>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</si>
  <si>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</si>
  <si>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</si>
  <si>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</si>
  <si>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</si>
  <si>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</si>
  <si>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</si>
  <si>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</si>
  <si>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</si>
  <si>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</si>
  <si>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</si>
  <si>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</si>
  <si>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</si>
  <si>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</si>
  <si>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</si>
  <si>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</si>
  <si>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</si>
  <si>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</si>
  <si>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</si>
  <si>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</si>
  <si>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</si>
  <si>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</si>
  <si>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</si>
  <si>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</si>
  <si>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</si>
  <si>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</si>
  <si>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</si>
  <si>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</si>
  <si>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</si>
  <si>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</si>
  <si>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</si>
  <si>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</si>
  <si>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</si>
  <si>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</si>
  <si>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</si>
  <si>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</si>
  <si>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</si>
  <si>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</si>
  <si>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</si>
  <si>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</si>
  <si>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</si>
  <si>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</si>
  <si>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</si>
  <si>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</si>
  <si>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</si>
  <si>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</si>
  <si>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</si>
  <si>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</si>
  <si>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</si>
  <si>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</si>
  <si>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</si>
  <si>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</si>
  <si>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</si>
  <si>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</si>
  <si>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</si>
  <si>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</si>
  <si>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</si>
  <si>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</si>
  <si>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</si>
  <si>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</si>
  <si>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</si>
  <si>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</si>
  <si>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</si>
  <si>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</si>
  <si>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</si>
  <si>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</si>
  <si>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</si>
  <si>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</si>
  <si>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</si>
  <si>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</si>
  <si>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</si>
  <si>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</si>
  <si>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</si>
  <si>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</si>
  <si>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</si>
  <si>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</si>
  <si>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</si>
  <si>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</si>
  <si>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</si>
  <si>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</si>
  <si>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</si>
  <si>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</si>
  <si>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</si>
  <si>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</si>
  <si>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</si>
  <si>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</si>
  <si>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</si>
  <si>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</si>
  <si>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</si>
  <si>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</si>
  <si>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</si>
  <si>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</si>
  <si>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</si>
  <si>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</si>
  <si>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</si>
  <si>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</si>
  <si>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</si>
  <si>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</si>
  <si>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</si>
  <si>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</si>
  <si>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</si>
  <si>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</si>
  <si>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</si>
  <si>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</si>
  <si>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</si>
  <si>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</si>
  <si>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</si>
  <si>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</si>
  <si>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</si>
  <si>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</si>
  <si>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</si>
  <si>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</si>
  <si>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</si>
  <si>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</si>
  <si>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</si>
  <si>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</si>
  <si>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</si>
  <si>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</si>
  <si>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</si>
  <si>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</si>
  <si>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</si>
  <si>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</si>
  <si>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</si>
  <si>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</si>
  <si>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</si>
  <si>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</si>
  <si>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</si>
  <si>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</si>
  <si>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</si>
  <si>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</si>
  <si>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</si>
  <si>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</si>
  <si>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</si>
  <si>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</si>
  <si>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</si>
  <si>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</si>
  <si>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</si>
  <si>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</si>
  <si>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</si>
  <si>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</si>
  <si>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</si>
  <si>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</si>
  <si>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</si>
  <si>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</si>
  <si>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</si>
  <si>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</si>
  <si>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</si>
  <si>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</si>
  <si>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</si>
  <si>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</si>
  <si>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</si>
  <si>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</si>
  <si>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</si>
  <si>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</si>
  <si>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</si>
  <si>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</si>
  <si>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</si>
  <si>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</si>
  <si>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</si>
  <si>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</si>
  <si>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</si>
  <si>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</si>
  <si>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</si>
  <si>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</si>
  <si>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</si>
  <si>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</si>
  <si>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</si>
  <si>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</si>
  <si>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</si>
  <si>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</si>
  <si>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</si>
  <si>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</si>
  <si>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</si>
  <si>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</si>
  <si>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</si>
  <si>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</si>
  <si>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</si>
  <si>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</si>
  <si>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</si>
  <si>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</si>
  <si>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</si>
  <si>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</si>
  <si>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</si>
  <si>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</si>
  <si>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</si>
  <si>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</si>
  <si>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</si>
  <si>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</si>
  <si>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</si>
  <si>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</si>
  <si>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</si>
  <si>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</si>
  <si>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</si>
  <si>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</si>
  <si>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</si>
  <si>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</si>
  <si>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</si>
  <si>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</si>
  <si>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</si>
  <si>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</si>
  <si>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</si>
  <si>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</si>
  <si>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</si>
  <si>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</si>
  <si>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</si>
  <si>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</si>
  <si>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</si>
  <si>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</si>
  <si>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</si>
  <si>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</si>
  <si>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</si>
  <si>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</si>
  <si>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</si>
  <si>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</si>
  <si>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</si>
  <si>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</si>
  <si>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</si>
  <si>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</si>
  <si>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</si>
  <si>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</si>
  <si>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</si>
  <si>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</si>
  <si>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</si>
  <si>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</si>
  <si>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</si>
  <si>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</si>
  <si>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</si>
  <si>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</si>
  <si>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</si>
  <si>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Camden Council</t>
  </si>
  <si>
    <t>Y</t>
  </si>
  <si>
    <t>N/A</t>
  </si>
  <si>
    <t>N</t>
  </si>
  <si>
    <t>Air Source</t>
  </si>
  <si>
    <t>yes</t>
  </si>
  <si>
    <t>Yes</t>
  </si>
  <si>
    <t>Part L2 - approved DSM</t>
  </si>
  <si>
    <t>CIBSE TM54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</si>
</sst>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3" fontId="3" fillId="11" borderId="21" xfId="0" applyNumberFormat="1" applyFont="1" applyFill="1" applyBorder="1" applyProtection="1">
      <protection locked="0"/>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47.393975999999995</c:v>
                </c:pt>
                <c:pt idx="2">
                  <c:v>47.393975999999995</c:v>
                </c:pt>
                <c:pt idx="3">
                  <c:v>42.431255999999991</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14.391888000000009</c:v>
                </c:pt>
                <c:pt idx="2">
                  <c:v>0</c:v>
                </c:pt>
                <c:pt idx="3">
                  <c:v>4.9627200000000045</c:v>
                </c:pt>
                <c:pt idx="4">
                  <c:v>42.431255999999991</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61.785864000000004</c:v>
                </c:pt>
                <c:pt idx="1">
                  <c:v>61.785864000000004</c:v>
                </c:pt>
                <c:pt idx="2">
                  <c:v>61.785864000000004</c:v>
                </c:pt>
                <c:pt idx="3">
                  <c:v>61.785864000000004</c:v>
                </c:pt>
                <c:pt idx="4">
                  <c:v>61.785864000000004</c:v>
                </c:pt>
                <c:pt idx="5">
                  <c:v>61.785864000000004</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40.160811600000002</c:v>
                </c:pt>
                <c:pt idx="1">
                  <c:v>40.160811600000002</c:v>
                </c:pt>
                <c:pt idx="2">
                  <c:v>40.160811600000002</c:v>
                </c:pt>
                <c:pt idx="3">
                  <c:v>40.160811600000002</c:v>
                </c:pt>
                <c:pt idx="4">
                  <c:v>40.160811600000002</c:v>
                </c:pt>
                <c:pt idx="5">
                  <c:v>40.160811600000002</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7" zoomScaleNormal="100" workbookViewId="0">
      <selection activeCell="C40" sqref="C40"/>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t="s">
        <v>265</v>
      </c>
    </row>
    <row r="3" spans="1:6" ht="37.5" customHeight="1">
      <c r="A3" s="255" t="s">
        <v>161</v>
      </c>
      <c r="B3" s="255"/>
      <c r="C3" s="201" t="s">
        <v>265</v>
      </c>
    </row>
    <row r="4" spans="1:6" ht="37.5" customHeight="1">
      <c r="A4" s="255" t="s">
        <v>162</v>
      </c>
      <c r="B4" s="255"/>
      <c r="C4" s="201" t="s">
        <v>265</v>
      </c>
    </row>
    <row r="5" spans="1:6" ht="61.5" customHeight="1">
      <c r="A5" s="255" t="s">
        <v>163</v>
      </c>
      <c r="B5" s="255"/>
      <c r="C5" s="201" t="s">
        <v>265</v>
      </c>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t="s">
        <v>260</v>
      </c>
      <c r="E9" s="208"/>
    </row>
    <row r="10" spans="1:6" ht="48">
      <c r="A10" s="249"/>
      <c r="B10" s="207" t="s">
        <v>4</v>
      </c>
      <c r="C10" s="207" t="s">
        <v>169</v>
      </c>
      <c r="D10" s="224"/>
      <c r="E10" s="208"/>
    </row>
    <row r="11" spans="1:6" ht="24">
      <c r="A11" s="249"/>
      <c r="B11" s="207" t="s">
        <v>170</v>
      </c>
      <c r="C11" s="207"/>
      <c r="D11" s="208" t="s">
        <v>261</v>
      </c>
      <c r="E11" s="208"/>
      <c r="F11" s="209"/>
    </row>
    <row r="12" spans="1:6" ht="25.5" customHeight="1">
      <c r="A12" s="249"/>
      <c r="B12" s="207" t="s">
        <v>171</v>
      </c>
      <c r="C12" s="207"/>
      <c r="D12" s="225" t="s">
        <v>262</v>
      </c>
      <c r="E12" s="208"/>
    </row>
    <row r="13" spans="1:6" ht="25.5" customHeight="1">
      <c r="A13" s="249"/>
      <c r="B13" s="207" t="s">
        <v>172</v>
      </c>
      <c r="C13" s="207"/>
      <c r="D13" s="224">
        <v>12406.8</v>
      </c>
      <c r="E13" s="208"/>
    </row>
    <row r="14" spans="1:6" ht="24">
      <c r="A14" s="246" t="s">
        <v>173</v>
      </c>
      <c r="B14" s="207" t="s">
        <v>174</v>
      </c>
      <c r="C14" s="207"/>
      <c r="D14" s="208"/>
      <c r="E14" s="208"/>
    </row>
    <row r="15" spans="1:6" ht="24">
      <c r="A15" s="247"/>
      <c r="B15" s="207" t="s">
        <v>175</v>
      </c>
      <c r="C15" s="207"/>
      <c r="D15" s="208" t="s">
        <v>261</v>
      </c>
      <c r="E15" s="208"/>
    </row>
    <row r="16" spans="1:6" ht="24">
      <c r="A16" s="247"/>
      <c r="B16" s="207" t="s">
        <v>176</v>
      </c>
      <c r="C16" s="207"/>
      <c r="D16" s="208"/>
      <c r="E16" s="208"/>
    </row>
    <row r="17" spans="1:6" ht="24">
      <c r="A17" s="247"/>
      <c r="B17" s="207" t="s">
        <v>177</v>
      </c>
      <c r="C17" s="207"/>
      <c r="D17" s="208" t="s">
        <v>261</v>
      </c>
      <c r="E17" s="208"/>
    </row>
    <row r="18" spans="1:6" ht="14.65" customHeight="1">
      <c r="A18" s="247"/>
      <c r="B18" s="207" t="s">
        <v>178</v>
      </c>
      <c r="C18" s="207"/>
      <c r="D18" s="224" t="s">
        <v>262</v>
      </c>
      <c r="E18" s="208"/>
    </row>
    <row r="19" spans="1:6" ht="14.65" customHeight="1">
      <c r="A19" s="247"/>
      <c r="B19" s="207" t="s">
        <v>179</v>
      </c>
      <c r="C19" s="207"/>
      <c r="D19" s="224"/>
      <c r="E19" s="208"/>
    </row>
    <row r="20" spans="1:6" ht="14.65" customHeight="1">
      <c r="A20" s="248"/>
      <c r="B20" s="207" t="s">
        <v>180</v>
      </c>
      <c r="C20" s="207"/>
      <c r="D20" s="208" t="s">
        <v>261</v>
      </c>
      <c r="E20" s="208"/>
    </row>
    <row r="21" spans="1:6" ht="14.65" customHeight="1">
      <c r="A21" s="246" t="s">
        <v>181</v>
      </c>
      <c r="B21" s="210" t="s">
        <v>182</v>
      </c>
      <c r="C21" s="210"/>
      <c r="D21" s="208"/>
      <c r="E21" s="208"/>
    </row>
    <row r="22" spans="1:6" ht="24">
      <c r="A22" s="247"/>
      <c r="B22" s="210" t="s">
        <v>183</v>
      </c>
      <c r="C22" s="210"/>
      <c r="D22" s="208" t="s">
        <v>261</v>
      </c>
      <c r="E22" s="208"/>
    </row>
    <row r="23" spans="1:6" ht="14.65" customHeight="1">
      <c r="A23" s="247"/>
      <c r="B23" s="210" t="s">
        <v>184</v>
      </c>
      <c r="C23" s="210"/>
      <c r="D23" s="208"/>
      <c r="E23" s="208"/>
      <c r="F23" s="211"/>
    </row>
    <row r="24" spans="1:6" ht="14.65" customHeight="1">
      <c r="A24" s="248"/>
      <c r="B24" s="210" t="s">
        <v>185</v>
      </c>
      <c r="C24" s="210"/>
      <c r="D24" s="208" t="s">
        <v>261</v>
      </c>
      <c r="E24" s="208"/>
      <c r="F24" s="211"/>
    </row>
    <row r="25" spans="1:6" ht="24">
      <c r="A25" s="246" t="s">
        <v>186</v>
      </c>
      <c r="B25" s="207" t="s">
        <v>187</v>
      </c>
      <c r="C25" s="207"/>
      <c r="D25" s="208" t="s">
        <v>261</v>
      </c>
      <c r="E25" s="208"/>
    </row>
    <row r="26" spans="1:6">
      <c r="A26" s="247"/>
      <c r="B26" s="207" t="s">
        <v>188</v>
      </c>
      <c r="C26" s="207"/>
      <c r="D26" s="208" t="s">
        <v>263</v>
      </c>
      <c r="E26" s="208"/>
    </row>
    <row r="27" spans="1:6">
      <c r="A27" s="247"/>
      <c r="B27" s="207" t="s">
        <v>189</v>
      </c>
      <c r="C27" s="207"/>
      <c r="D27" s="208" t="s">
        <v>262</v>
      </c>
      <c r="E27" s="208"/>
    </row>
    <row r="28" spans="1:6" ht="13.5">
      <c r="A28" s="247"/>
      <c r="B28" s="207" t="s">
        <v>190</v>
      </c>
      <c r="C28" s="207"/>
      <c r="D28" s="224" t="s">
        <v>262</v>
      </c>
      <c r="E28" s="208"/>
    </row>
    <row r="29" spans="1:6" ht="48">
      <c r="A29" s="248"/>
      <c r="B29" s="207" t="s">
        <v>191</v>
      </c>
      <c r="C29" s="207" t="s">
        <v>192</v>
      </c>
      <c r="D29" s="208" t="s">
        <v>261</v>
      </c>
      <c r="E29" s="208"/>
    </row>
    <row r="30" spans="1:6" ht="24">
      <c r="A30" s="246" t="s">
        <v>193</v>
      </c>
      <c r="B30" s="207" t="s">
        <v>194</v>
      </c>
      <c r="C30" s="207" t="s">
        <v>195</v>
      </c>
      <c r="D30" s="208" t="s">
        <v>261</v>
      </c>
      <c r="E30" s="208"/>
      <c r="F30" s="212"/>
    </row>
    <row r="31" spans="1:6" ht="60">
      <c r="A31" s="247"/>
      <c r="B31" s="207" t="s">
        <v>196</v>
      </c>
      <c r="C31" s="207" t="s">
        <v>257</v>
      </c>
      <c r="D31" s="208" t="s">
        <v>261</v>
      </c>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t="s">
        <v>261</v>
      </c>
      <c r="E36" s="208"/>
    </row>
    <row r="37" spans="1:5">
      <c r="A37" s="247"/>
      <c r="B37" s="207" t="s">
        <v>204</v>
      </c>
      <c r="C37" s="207"/>
      <c r="D37" s="226" t="s">
        <v>264</v>
      </c>
      <c r="E37" s="208"/>
    </row>
    <row r="38" spans="1:5">
      <c r="A38" s="247"/>
      <c r="B38" s="207" t="s">
        <v>205</v>
      </c>
      <c r="C38" s="207"/>
      <c r="D38" s="224"/>
      <c r="E38" s="208"/>
    </row>
    <row r="39" spans="1:5">
      <c r="A39" s="247"/>
      <c r="B39" s="207" t="s">
        <v>206</v>
      </c>
      <c r="C39" s="207"/>
      <c r="D39" s="224">
        <v>7.51</v>
      </c>
      <c r="E39" s="208"/>
    </row>
    <row r="40" spans="1:5" ht="36">
      <c r="A40" s="247"/>
      <c r="B40" s="207" t="s">
        <v>207</v>
      </c>
      <c r="C40" s="207" t="s">
        <v>208</v>
      </c>
      <c r="D40" s="208" t="s">
        <v>261</v>
      </c>
      <c r="E40" s="208"/>
    </row>
    <row r="41" spans="1:5" ht="24">
      <c r="A41" s="247"/>
      <c r="B41" s="207" t="s">
        <v>209</v>
      </c>
      <c r="C41" s="207"/>
      <c r="D41" s="224"/>
      <c r="E41" s="208"/>
    </row>
    <row r="42" spans="1:5" ht="60">
      <c r="A42" s="247"/>
      <c r="B42" s="207" t="s">
        <v>210</v>
      </c>
      <c r="C42" s="213" t="s">
        <v>211</v>
      </c>
      <c r="D42" s="208" t="s">
        <v>263</v>
      </c>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t="s">
        <v>261</v>
      </c>
      <c r="E46" s="208"/>
    </row>
    <row r="47" spans="1:5" ht="36">
      <c r="A47" s="249"/>
      <c r="B47" s="207" t="s">
        <v>218</v>
      </c>
      <c r="C47" s="207"/>
      <c r="D47" s="208" t="s">
        <v>261</v>
      </c>
      <c r="E47" s="208"/>
    </row>
    <row r="48" spans="1:5">
      <c r="A48" s="249"/>
      <c r="B48" s="207" t="s">
        <v>219</v>
      </c>
      <c r="C48" s="207"/>
      <c r="D48" s="224">
        <v>15756.6</v>
      </c>
      <c r="E48" s="208"/>
    </row>
    <row r="49" spans="1:5">
      <c r="A49" s="249"/>
      <c r="B49" s="207" t="s">
        <v>220</v>
      </c>
      <c r="C49" s="207"/>
      <c r="D49" s="224"/>
      <c r="E49" s="208"/>
    </row>
    <row r="50" spans="1:5" ht="13.5">
      <c r="A50" s="249"/>
      <c r="B50" s="207" t="s">
        <v>221</v>
      </c>
      <c r="C50" s="207"/>
      <c r="D50" s="224">
        <v>88</v>
      </c>
      <c r="E50" s="208"/>
    </row>
    <row r="51" spans="1:5">
      <c r="A51" s="249"/>
      <c r="B51" s="207" t="s">
        <v>222</v>
      </c>
      <c r="C51" s="207"/>
      <c r="D51" s="208" t="s">
        <v>263</v>
      </c>
      <c r="E51" s="208"/>
    </row>
    <row r="52" spans="1:5" ht="13.5">
      <c r="A52" s="249"/>
      <c r="B52" s="207" t="s">
        <v>223</v>
      </c>
      <c r="C52" s="207"/>
      <c r="D52" s="224"/>
      <c r="E52" s="208"/>
    </row>
    <row r="53" spans="1:5" ht="24">
      <c r="A53" s="246" t="s">
        <v>224</v>
      </c>
      <c r="B53" s="207" t="s">
        <v>225</v>
      </c>
      <c r="C53" s="207" t="s">
        <v>226</v>
      </c>
      <c r="D53" s="208" t="s">
        <v>263</v>
      </c>
      <c r="E53" s="208"/>
    </row>
    <row r="54" spans="1:5" ht="24">
      <c r="A54" s="247"/>
      <c r="B54" s="207" t="s">
        <v>227</v>
      </c>
      <c r="C54" s="207" t="s">
        <v>228</v>
      </c>
      <c r="D54" s="208" t="s">
        <v>263</v>
      </c>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t="s">
        <v>261</v>
      </c>
      <c r="E61" s="208"/>
    </row>
    <row r="62" spans="1:5" ht="20.25" customHeight="1">
      <c r="A62" s="247"/>
      <c r="B62" s="207" t="s">
        <v>239</v>
      </c>
      <c r="C62" s="207" t="s">
        <v>240</v>
      </c>
      <c r="D62" s="224"/>
      <c r="E62" s="208"/>
    </row>
    <row r="63" spans="1:5" ht="20.25" customHeight="1">
      <c r="A63" s="248"/>
      <c r="B63" s="207" t="s">
        <v>241</v>
      </c>
      <c r="C63" s="207"/>
      <c r="D63" s="224">
        <v>1372048.2</v>
      </c>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36" zoomScale="60" zoomScaleNormal="60" workbookViewId="0">
      <selection activeCell="I75" sqref="I75"/>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v>1</v>
      </c>
      <c r="B63" s="110">
        <v>12406.8</v>
      </c>
      <c r="C63" s="110"/>
      <c r="D63" s="110">
        <f>B63</f>
        <v>12406.8</v>
      </c>
      <c r="E63" s="164">
        <v>4.9800000000000004</v>
      </c>
      <c r="F63" s="165"/>
      <c r="G63" s="182">
        <v>3.82</v>
      </c>
      <c r="H63" s="171">
        <v>3.82</v>
      </c>
      <c r="I63" s="171">
        <v>3.42</v>
      </c>
      <c r="J63" s="13"/>
      <c r="K63" s="119"/>
      <c r="L63" s="107">
        <f t="shared" ref="L63:L93" si="16">IF($E63=0,"",$E63*$D63)</f>
        <v>61785.864000000001</v>
      </c>
      <c r="M63" s="121">
        <f t="shared" ref="M63:M93" si="17">IF($E63=0,"",F63*D63*Average_notional_PV_CO2_factor)</f>
        <v>0</v>
      </c>
      <c r="N63" s="121">
        <f t="shared" ref="N63:N93" si="18">IF($G63=0,"",$G63*$D63)</f>
        <v>47393.975999999995</v>
      </c>
      <c r="O63" s="107">
        <f>IF($G63=0,"",$N63+$M63)</f>
        <v>47393.975999999995</v>
      </c>
      <c r="P63" s="108">
        <f>IF($G63=0,"",$L63-O63)</f>
        <v>14391.888000000006</v>
      </c>
      <c r="Q63" s="107">
        <f t="shared" ref="Q63:Q93" si="19">IF($H63=0,"",$H63*$D63)</f>
        <v>47393.975999999995</v>
      </c>
      <c r="R63" s="107">
        <f>IF($H63=0,"",$Q63+$M63)</f>
        <v>47393.975999999995</v>
      </c>
      <c r="S63" s="108">
        <f>IF($H63=0,"",$R63-$O63)</f>
        <v>0</v>
      </c>
      <c r="T63" s="107">
        <f>IF($I63=0,"",$I63*$D63)</f>
        <v>42431.255999999994</v>
      </c>
      <c r="U63" s="178">
        <f>IF($H63=0,"",$R63-$T63)</f>
        <v>4962.7200000000012</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12406.8</v>
      </c>
      <c r="E94" s="152">
        <f>IFERROR(SUMPRODUCT($D$63:$D$93,E63:E93)/$D$94,0)</f>
        <v>4.9800000000000004</v>
      </c>
      <c r="F94" s="184">
        <f t="shared" ref="F94:I94" si="26">IFERROR(SUMPRODUCT($D$63:$D$93,F63:F93)/$D$94,0)</f>
        <v>0</v>
      </c>
      <c r="G94" s="152">
        <f t="shared" si="26"/>
        <v>3.82</v>
      </c>
      <c r="H94" s="152">
        <f t="shared" si="26"/>
        <v>3.82</v>
      </c>
      <c r="I94" s="152">
        <f t="shared" si="26"/>
        <v>3.42</v>
      </c>
      <c r="J94" s="13"/>
      <c r="K94" s="119"/>
      <c r="L94" s="153">
        <f>SUM(L63:L93)</f>
        <v>61785.864000000001</v>
      </c>
      <c r="M94" s="153">
        <f t="shared" ref="M94:T94" si="27">SUM(M63:M93)</f>
        <v>0</v>
      </c>
      <c r="N94" s="153">
        <f t="shared" si="27"/>
        <v>47393.975999999995</v>
      </c>
      <c r="O94" s="153">
        <f t="shared" si="27"/>
        <v>47393.975999999995</v>
      </c>
      <c r="P94" s="153">
        <f t="shared" si="27"/>
        <v>14391.888000000006</v>
      </c>
      <c r="Q94" s="153">
        <f t="shared" si="27"/>
        <v>47393.975999999995</v>
      </c>
      <c r="R94" s="153">
        <f t="shared" si="27"/>
        <v>47393.975999999995</v>
      </c>
      <c r="S94" s="153">
        <f t="shared" si="27"/>
        <v>0</v>
      </c>
      <c r="T94" s="153">
        <f t="shared" si="27"/>
        <v>42431.255999999994</v>
      </c>
      <c r="U94" s="179">
        <f t="shared" ref="U94" si="28">SUM(U63:U93)</f>
        <v>4962.7200000000012</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12406.8</v>
      </c>
      <c r="E96" s="155" t="s">
        <v>22</v>
      </c>
      <c r="F96" s="155" t="s">
        <v>22</v>
      </c>
      <c r="G96" s="155" t="s">
        <v>22</v>
      </c>
      <c r="H96" s="155" t="s">
        <v>22</v>
      </c>
      <c r="I96" s="155" t="s">
        <v>22</v>
      </c>
      <c r="J96" s="122"/>
      <c r="K96" s="123"/>
      <c r="L96" s="156">
        <f>L58+L94</f>
        <v>61785.864000000001</v>
      </c>
      <c r="M96" s="156">
        <f t="shared" ref="M96:T96" si="29">M58+M94</f>
        <v>0</v>
      </c>
      <c r="N96" s="156">
        <f t="shared" si="29"/>
        <v>47393.975999999995</v>
      </c>
      <c r="O96" s="156">
        <f t="shared" si="29"/>
        <v>47393.975999999995</v>
      </c>
      <c r="P96" s="156">
        <f t="shared" si="29"/>
        <v>14391.888000000006</v>
      </c>
      <c r="Q96" s="156">
        <f t="shared" si="29"/>
        <v>47393.975999999995</v>
      </c>
      <c r="R96" s="156">
        <f t="shared" si="29"/>
        <v>47393.975999999995</v>
      </c>
      <c r="S96" s="156">
        <f t="shared" ref="S96" si="30">S58+S94</f>
        <v>0</v>
      </c>
      <c r="T96" s="156">
        <f t="shared" si="29"/>
        <v>42431.255999999994</v>
      </c>
      <c r="U96" s="181">
        <f>U58+U94</f>
        <v>4962.7200000000012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90" zoomScaleNormal="90" workbookViewId="0">
      <selection activeCell="N13" sqref="N13"/>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59</v>
      </c>
      <c r="B13" s="75">
        <v>12016</v>
      </c>
      <c r="C13" s="75">
        <v>47159</v>
      </c>
      <c r="D13" s="75">
        <f>948386.19-11414</f>
        <v>936972.19</v>
      </c>
      <c r="E13" s="75"/>
      <c r="F13" s="75"/>
      <c r="G13" s="75"/>
      <c r="H13" s="75"/>
      <c r="I13" s="75"/>
      <c r="J13" s="318">
        <v>11414</v>
      </c>
      <c r="K13" s="75"/>
      <c r="L13" s="76" t="s">
        <v>266</v>
      </c>
      <c r="M13" s="76" t="s">
        <v>266</v>
      </c>
      <c r="N13" s="96">
        <f>IF('EUI &amp; space heating demand'!B13="","",SUM('EUI &amp; space heating demand'!$D13:$K13)/'EUI &amp; space heating demand'!B13)</f>
        <v>78.926946571238346</v>
      </c>
      <c r="O13" s="96">
        <f>IF('EUI &amp; space heating demand'!B13="","",'EUI &amp; space heating demand'!C13/'EUI &amp; space heating demand'!B13)</f>
        <v>3.924683754993342</v>
      </c>
      <c r="P13" s="96">
        <f>IF('EUI &amp; space heating demand'!B13="","", VLOOKUP(A13,Tables!$A$24:$C$27,2))</f>
        <v>55</v>
      </c>
      <c r="Q13" s="96">
        <f>IF('EUI &amp; space heating demand'!B13="","", VLOOKUP(A13,Tables!$A$24:$C$27,3))</f>
        <v>15</v>
      </c>
      <c r="R13" s="77" t="s">
        <v>267</v>
      </c>
      <c r="S13" s="77" t="s">
        <v>268</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12016</v>
      </c>
      <c r="C33" s="63">
        <f t="shared" ref="C33:K33" si="1">SUM(C13:C32)</f>
        <v>47159</v>
      </c>
      <c r="D33" s="63">
        <f t="shared" si="1"/>
        <v>936972.19</v>
      </c>
      <c r="E33" s="63">
        <f t="shared" si="1"/>
        <v>0</v>
      </c>
      <c r="F33" s="63">
        <f t="shared" si="1"/>
        <v>0</v>
      </c>
      <c r="G33" s="63">
        <f t="shared" si="1"/>
        <v>0</v>
      </c>
      <c r="H33" s="63">
        <f t="shared" si="1"/>
        <v>0</v>
      </c>
      <c r="I33" s="63">
        <f t="shared" si="1"/>
        <v>0</v>
      </c>
      <c r="J33" s="63">
        <f t="shared" si="1"/>
        <v>11414</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pageSetUpPr fitToPage="1"/>
  </sheetPr>
  <dimension ref="A1:N122"/>
  <sheetViews>
    <sheetView tabSelected="1" topLeftCell="A70" zoomScale="90" zoomScaleNormal="90" workbookViewId="0">
      <selection activeCell="H24" sqref="H24"/>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61.785864000000004</v>
      </c>
      <c r="J8" s="66">
        <f>(45.53*0.136*'Part L Outputs'!B63)/1000</f>
        <v>76.823898144000012</v>
      </c>
      <c r="K8" s="81"/>
      <c r="L8" s="81"/>
      <c r="M8" s="90"/>
    </row>
    <row r="9" spans="1:13" s="27" customFormat="1" ht="45" customHeight="1">
      <c r="B9" s="24" t="s">
        <v>70</v>
      </c>
      <c r="C9" s="25">
        <f>'Part L Outputs'!O58/1000</f>
        <v>0</v>
      </c>
      <c r="D9" s="66"/>
      <c r="E9" s="54"/>
      <c r="F9" s="26"/>
      <c r="G9" s="54"/>
      <c r="H9" s="24" t="s">
        <v>70</v>
      </c>
      <c r="I9" s="25">
        <f>'Part L Outputs'!O94/1000</f>
        <v>47.393975999999995</v>
      </c>
      <c r="J9" s="66">
        <f>$J$8*0.85</f>
        <v>65.300313422400009</v>
      </c>
      <c r="K9" s="81"/>
      <c r="L9" s="81"/>
      <c r="M9" s="90"/>
    </row>
    <row r="10" spans="1:13" s="27" customFormat="1" ht="45" customHeight="1">
      <c r="B10" s="24" t="s">
        <v>71</v>
      </c>
      <c r="C10" s="25">
        <f>'Part L Outputs'!R58/1000</f>
        <v>0</v>
      </c>
      <c r="D10" s="66"/>
      <c r="E10" s="54"/>
      <c r="F10" s="26"/>
      <c r="G10" s="54"/>
      <c r="H10" s="24" t="s">
        <v>71</v>
      </c>
      <c r="I10" s="25">
        <f>'Part L Outputs'!R94/1000</f>
        <v>47.393975999999995</v>
      </c>
      <c r="J10" s="66">
        <f>J9</f>
        <v>65.300313422400009</v>
      </c>
      <c r="K10" s="81"/>
      <c r="L10" s="81"/>
      <c r="M10" s="90"/>
    </row>
    <row r="11" spans="1:13" s="27" customFormat="1" ht="45" customHeight="1">
      <c r="B11" s="24" t="s">
        <v>72</v>
      </c>
      <c r="C11" s="25">
        <f>'Part L Outputs'!T58/1000</f>
        <v>0</v>
      </c>
      <c r="D11" s="66"/>
      <c r="E11" s="185"/>
      <c r="F11" s="26"/>
      <c r="G11" s="54"/>
      <c r="H11" s="24" t="s">
        <v>72</v>
      </c>
      <c r="I11" s="25">
        <f>'Part L Outputs'!T94/1000</f>
        <v>42.431255999999991</v>
      </c>
      <c r="J11" s="66">
        <f>J10</f>
        <v>65.300313422400009</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14.391888000000009</v>
      </c>
      <c r="J18" s="31">
        <f>IFERROR(I18/I8,0)</f>
        <v>0.23293172690763064</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4.9627200000000045</v>
      </c>
      <c r="J20" s="31">
        <f>IFERROR(I20/I8,0)</f>
        <v>8.0321285140562318E-2</v>
      </c>
      <c r="K20" s="28"/>
      <c r="L20" s="28"/>
      <c r="M20" s="91"/>
    </row>
    <row r="21" spans="2:13" s="30" customFormat="1" ht="45" customHeight="1">
      <c r="B21" s="32" t="s">
        <v>82</v>
      </c>
      <c r="C21" s="33">
        <f>C8-C11</f>
        <v>0</v>
      </c>
      <c r="D21" s="34">
        <f>IFERROR(C21/C8,0)</f>
        <v>0</v>
      </c>
      <c r="E21" s="28"/>
      <c r="F21" s="29"/>
      <c r="G21" s="28"/>
      <c r="H21" s="32" t="s">
        <v>83</v>
      </c>
      <c r="I21" s="33">
        <f>I8-I11</f>
        <v>19.354608000000013</v>
      </c>
      <c r="J21" s="34">
        <f>IFERROR(I21/I8,0)</f>
        <v>0.31325301204819295</v>
      </c>
      <c r="K21" s="92"/>
      <c r="L21" s="28"/>
      <c r="M21" s="91"/>
    </row>
    <row r="22" spans="2:13" s="30" customFormat="1" ht="45" customHeight="1">
      <c r="B22" s="24" t="s">
        <v>84</v>
      </c>
      <c r="C22" s="25">
        <f>(C8-C21)</f>
        <v>0</v>
      </c>
      <c r="D22" s="35" t="s">
        <v>22</v>
      </c>
      <c r="E22" s="28"/>
      <c r="F22" s="29"/>
      <c r="G22" s="28"/>
      <c r="H22" s="24" t="s">
        <v>84</v>
      </c>
      <c r="I22" s="25">
        <f>(I8-I21)</f>
        <v>42.431255999999991</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1272.9376799999998</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120929.07959999998</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61.785864000000004</v>
      </c>
      <c r="D61" s="41"/>
      <c r="E61" s="42"/>
      <c r="F61" s="56">
        <f>$C$61</f>
        <v>61.785864000000004</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47.393975999999995</v>
      </c>
      <c r="D62" s="40">
        <f>C61-C62</f>
        <v>14.391888000000009</v>
      </c>
      <c r="E62" s="44">
        <f>IFERROR(D62/C61,0)</f>
        <v>0.23293172690763064</v>
      </c>
      <c r="F62" s="56">
        <f>$C$61</f>
        <v>61.785864000000004</v>
      </c>
      <c r="G62" s="56"/>
      <c r="H62" s="28"/>
      <c r="I62" s="73"/>
      <c r="J62" s="73"/>
      <c r="K62" s="28"/>
      <c r="L62" s="55"/>
      <c r="M62" s="91"/>
    </row>
    <row r="63" spans="1:13" s="30" customFormat="1" ht="40.15" customHeight="1">
      <c r="B63" s="43" t="s">
        <v>99</v>
      </c>
      <c r="C63" s="40">
        <f>'Part L Outputs'!R96/1000</f>
        <v>47.393975999999995</v>
      </c>
      <c r="D63" s="40">
        <f>C62-C63</f>
        <v>0</v>
      </c>
      <c r="E63" s="44">
        <f>IFERROR(D63/C61,0)</f>
        <v>0</v>
      </c>
      <c r="F63" s="56">
        <f>$C$61</f>
        <v>61.785864000000004</v>
      </c>
      <c r="G63" s="56"/>
      <c r="H63" s="28"/>
      <c r="I63" s="73"/>
      <c r="J63" s="73"/>
      <c r="K63" s="28"/>
      <c r="L63" s="55"/>
      <c r="M63" s="91"/>
    </row>
    <row r="64" spans="1:13" s="30" customFormat="1" ht="66">
      <c r="B64" s="43" t="s">
        <v>100</v>
      </c>
      <c r="C64" s="40">
        <f>'Part L Outputs'!T96/1000</f>
        <v>42.431255999999991</v>
      </c>
      <c r="D64" s="40">
        <f>C63-C64</f>
        <v>4.9627200000000045</v>
      </c>
      <c r="E64" s="44">
        <f>IFERROR(D64/C61,0)</f>
        <v>8.0321285140562318E-2</v>
      </c>
      <c r="F64" s="56">
        <f>$C$61</f>
        <v>61.785864000000004</v>
      </c>
      <c r="G64" s="56"/>
      <c r="H64" s="71"/>
      <c r="I64" s="71" t="s">
        <v>258</v>
      </c>
      <c r="J64" s="71" t="s">
        <v>158</v>
      </c>
      <c r="K64" s="28"/>
      <c r="L64" s="55"/>
      <c r="M64" s="91"/>
    </row>
    <row r="65" spans="1:14" s="30" customFormat="1" ht="40.15" customHeight="1">
      <c r="B65" s="43" t="s">
        <v>101</v>
      </c>
      <c r="C65" s="45" t="s">
        <v>22</v>
      </c>
      <c r="D65" s="40">
        <f>SUM(D62:D64)</f>
        <v>19.354608000000013</v>
      </c>
      <c r="E65" s="44">
        <f>IFERROR(D65/C61,0)</f>
        <v>0.31325301204819295</v>
      </c>
      <c r="F65" s="56">
        <f>$C$61</f>
        <v>61.785864000000004</v>
      </c>
      <c r="G65" s="56"/>
      <c r="H65" s="48" t="s">
        <v>102</v>
      </c>
      <c r="I65" s="67">
        <v>110.58840000000001</v>
      </c>
      <c r="J65" s="67">
        <v>1372048.1611200001</v>
      </c>
      <c r="K65" s="28"/>
      <c r="L65" s="55"/>
      <c r="M65" s="91"/>
    </row>
    <row r="66" spans="1:14" s="30" customFormat="1" ht="40.15" customHeight="1">
      <c r="B66" s="39"/>
      <c r="C66" s="45" t="s">
        <v>22</v>
      </c>
      <c r="D66" s="46" t="s">
        <v>103</v>
      </c>
      <c r="E66" s="44" t="s">
        <v>22</v>
      </c>
      <c r="F66" s="53"/>
      <c r="G66" s="53"/>
      <c r="H66" s="48" t="s">
        <v>104</v>
      </c>
      <c r="I66" s="67">
        <v>318.25439999999998</v>
      </c>
      <c r="J66" s="67">
        <v>3948518.6899199998</v>
      </c>
      <c r="K66" s="28"/>
      <c r="L66" s="55"/>
      <c r="M66" s="91"/>
    </row>
    <row r="67" spans="1:14" s="30" customFormat="1" ht="40.15" customHeight="1">
      <c r="B67" s="39" t="s">
        <v>105</v>
      </c>
      <c r="C67" s="45" t="s">
        <v>22</v>
      </c>
      <c r="D67" s="47">
        <f>C24+I24</f>
        <v>1272.9376799999998</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Office</v>
      </c>
      <c r="C75" s="191">
        <f>IF('EUI &amp; space heating demand'!B13="","",'EUI &amp; space heating demand'!N13)</f>
        <v>78.926946571238346</v>
      </c>
      <c r="D75" s="191">
        <f>IF('EUI &amp; space heating demand'!B13="","",'EUI &amp; space heating demand'!O13)</f>
        <v>3.924683754993342</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approved DSM &amp; CIBSE TM54</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paperSize="8" scale="69" fitToHeight="0" orientation="landscape"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61.785864000000004</v>
      </c>
      <c r="E14" s="135">
        <f t="shared" ref="E14:E19" si="1">D14*0.65</f>
        <v>40.160811600000002</v>
      </c>
    </row>
    <row r="15" spans="1:5">
      <c r="A15" s="134" t="s">
        <v>98</v>
      </c>
      <c r="B15" s="136">
        <f>'GLA Summary Tables'!I9</f>
        <v>47.393975999999995</v>
      </c>
      <c r="C15" s="136">
        <f>'GLA Summary Tables'!I18</f>
        <v>14.391888000000009</v>
      </c>
      <c r="D15" s="135">
        <f>'GLA Summary Tables'!I$8</f>
        <v>61.785864000000004</v>
      </c>
      <c r="E15" s="135">
        <f t="shared" si="1"/>
        <v>40.160811600000002</v>
      </c>
    </row>
    <row r="16" spans="1:5">
      <c r="A16" s="134" t="s">
        <v>112</v>
      </c>
      <c r="B16" s="136">
        <f>'GLA Summary Tables'!I10</f>
        <v>47.393975999999995</v>
      </c>
      <c r="C16" s="136">
        <f>'GLA Summary Tables'!I19</f>
        <v>0</v>
      </c>
      <c r="D16" s="135">
        <f>'GLA Summary Tables'!I$8</f>
        <v>61.785864000000004</v>
      </c>
      <c r="E16" s="135">
        <f t="shared" si="1"/>
        <v>40.160811600000002</v>
      </c>
    </row>
    <row r="17" spans="1:5">
      <c r="A17" s="134" t="s">
        <v>113</v>
      </c>
      <c r="B17" s="136">
        <f>'GLA Summary Tables'!I11</f>
        <v>42.431255999999991</v>
      </c>
      <c r="C17" s="136">
        <f>'GLA Summary Tables'!I20</f>
        <v>4.9627200000000045</v>
      </c>
      <c r="D17" s="135">
        <f>'GLA Summary Tables'!I$8</f>
        <v>61.785864000000004</v>
      </c>
      <c r="E17" s="135">
        <f t="shared" si="1"/>
        <v>40.160811600000002</v>
      </c>
    </row>
    <row r="18" spans="1:5">
      <c r="A18" s="134" t="s">
        <v>114</v>
      </c>
      <c r="B18" s="136">
        <v>0</v>
      </c>
      <c r="C18" s="136">
        <f>'GLA Summary Tables'!I22</f>
        <v>42.431255999999991</v>
      </c>
      <c r="D18" s="135">
        <f>'GLA Summary Tables'!I$8</f>
        <v>61.785864000000004</v>
      </c>
      <c r="E18" s="135">
        <f t="shared" si="1"/>
        <v>40.160811600000002</v>
      </c>
    </row>
    <row r="19" spans="1:5">
      <c r="A19" s="134"/>
      <c r="B19" s="133"/>
      <c r="C19" s="133"/>
      <c r="D19" s="135">
        <f>'GLA Summary Tables'!I$8</f>
        <v>61.785864000000004</v>
      </c>
      <c r="E19" s="135">
        <f t="shared" si="1"/>
        <v>40.160811600000002</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5A3360B81C3949438B74A4F7B07DB82D" ma:contentTypeVersion="20" ma:contentTypeDescription="" ma:contentTypeScope="" ma:versionID="baba1f559fc83df665ddd40deea63e25">
  <xsd:schema xmlns:xsd="http://www.w3.org/2001/XMLSchema" xmlns:xs="http://www.w3.org/2001/XMLSchema" xmlns:p="http://schemas.microsoft.com/office/2006/metadata/properties" xmlns:ns2="0f32b7d4-26dc-490a-8bd0-f4f1ac9f3119" xmlns:ns3="d8912809-f25e-4882-96d0-07f1b94ba2a6" xmlns:ns4="4f1202d2-6ad5-449c-bc31-ae97436370da" targetNamespace="http://schemas.microsoft.com/office/2006/metadata/properties" ma:root="true" ma:fieldsID="85c3dce30cbce8df5ddd621803fbf846" ns2:_="" ns3:_="" ns4:_="">
    <xsd:import namespace="0f32b7d4-26dc-490a-8bd0-f4f1ac9f3119"/>
    <xsd:import namespace="d8912809-f25e-4882-96d0-07f1b94ba2a6"/>
    <xsd:import namespace="4f1202d2-6ad5-449c-bc31-ae97436370da"/>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2b7d4-26dc-490a-8bd0-f4f1ac9f311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8fc7854-3ad6-4c9a-acf0-5c96ef4320d7}" ma:internalName="TaxCatchAll" ma:showField="CatchAllData" ma:web="0f32b7d4-26dc-490a-8bd0-f4f1ac9f311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88fc7854-3ad6-4c9a-acf0-5c96ef4320d7}" ma:internalName="TaxCatchAllLabel" ma:readOnly="true" ma:showField="CatchAllDataLabel" ma:web="0f32b7d4-26dc-490a-8bd0-f4f1ac9f31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1202d2-6ad5-449c-bc31-ae97436370da"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32b7d4-26dc-490a-8bd0-f4f1ac9f3119">
      <Value>2</Value>
      <Value>1</Value>
    </TaxCatchAll>
    <Property_x0020_Address xmlns="d8912809-f25e-4882-96d0-07f1b94ba2a6">19 Charterhouse Street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Farrview Limited - D4505900</TermName>
          <TermId xmlns="http://schemas.microsoft.com/office/infopath/2007/PartnerControls">34163d27-77c1-400d-9b0e-f89c3171e600</TermId>
        </TermInfo>
      </Terms>
    </c2f3895442d64e06ad219af07c660a19>
    <File_x0020_Number xmlns="d8912809-f25e-4882-96d0-07f1b94ba2a6">U0023854</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EC1N 6SA</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2104439</TermName>
          <TermId xmlns="http://schemas.microsoft.com/office/infopath/2007/PartnerControls">2fcebc94-5d88-41b8-8100-a5f2c3caa6ae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documentManagement>
</p:properties>
</file>

<file path=customXml/itemProps1.xml><?xml version="1.0" encoding="utf-8"?>
<ds:datastoreItem xmlns:ds="http://schemas.openxmlformats.org/officeDocument/2006/customXml" ds:itemID="{2AC3DAC9-9737-4AFA-A472-BD18C0DFE1C6}"/>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bbc29c1b-c0f5-4a69-9064-42075bd51526"/>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30d58efb-e8bf-4261-b5e6-27ac039971e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2025-04-03T16:27:02Z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0x010100FD57DD30FEAD9F4DB9E3204E47DDB253005A3360B81C3949438B74A4F7B07DB82D</vt:lpwstr>
  </property>
  <property fmtid="{D5CDD505-2E9C-101B-9397-08002B2CF9AE}" pid="3" name="MediaServiceImageTags">
    <vt:lpwstr/>
  </property>
  <property fmtid="{D5CDD505-2E9C-101B-9397-08002B2CF9AE}" pid="4" name="MSIP_Label_43f08ec5-d6d9-4227-8387-ccbfcb3632c4_Enabled">
    <vt:lpwstr>true</vt:lpwstr>
  </property>
  <property fmtid="{D5CDD505-2E9C-101B-9397-08002B2CF9AE}" pid="5" name="MSIP_Label_43f08ec5-d6d9-4227-8387-ccbfcb3632c4_SetDate">
    <vt:lpwstr>2023-03-23T10:48:08Z</vt:lpwstr>
  </property>
  <property fmtid="{D5CDD505-2E9C-101B-9397-08002B2CF9AE}" pid="6" name="MSIP_Label_43f08ec5-d6d9-4227-8387-ccbfcb3632c4_Method">
    <vt:lpwstr>Standard</vt:lpwstr>
  </property>
  <property fmtid="{D5CDD505-2E9C-101B-9397-08002B2CF9AE}" pid="7" name="MSIP_Label_43f08ec5-d6d9-4227-8387-ccbfcb3632c4_Name">
    <vt:lpwstr>Sweco Restricted</vt:lpwstr>
  </property>
  <property fmtid="{D5CDD505-2E9C-101B-9397-08002B2CF9AE}" pid="8" name="MSIP_Label_43f08ec5-d6d9-4227-8387-ccbfcb3632c4_SiteId">
    <vt:lpwstr>b7872ef0-9a00-4c18-8a4a-c7d25c778a9e</vt:lpwstr>
  </property>
  <property fmtid="{D5CDD505-2E9C-101B-9397-08002B2CF9AE}" pid="9" name="MSIP_Label_43f08ec5-d6d9-4227-8387-ccbfcb3632c4_ActionId">
    <vt:lpwstr>def97eab-606a-48a7-b7a4-d4ffafa6ce5c</vt:lpwstr>
  </property>
  <property fmtid="{D5CDD505-2E9C-101B-9397-08002B2CF9AE}" pid="10" name="MSIP_Label_43f08ec5-d6d9-4227-8387-ccbfcb3632c4_ContentBits">
    <vt:lpwstr>0</vt:lpwstr>
  </property>
  <property fmtid="{D5CDD505-2E9C-101B-9397-08002B2CF9AE}" pid="11" name="JobID">
    <vt:lpwstr>1;#2104439|2fcebc94-5d88-41b8-8100-a5f2c3caa6ae</vt:lpwstr>
  </property>
  <property fmtid="{D5CDD505-2E9C-101B-9397-08002B2CF9AE}" pid="12" name="Client">
    <vt:lpwstr>2;#Farrview Limited - D4505900|34163d27-77c1-400d-9b0e-f89c3171e600</vt:lpwstr>
  </property>
</Properties>
</file>