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AA456AC8-A38E-468F-A479-7B1C1B37A3A9}" xr6:coauthVersionLast="47" xr6:coauthVersionMax="47" xr10:uidLastSave="{00000000-0000-0000-0000-000000000000}"/>
  <bookViews>
    <workbookView xWindow="38280" yWindow="-120" windowWidth="29040" windowHeight="15720"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6" l="1"/>
  <c r="B72" i="6"/>
  <c r="Q3" i="2"/>
  <c r="U61" i="2"/>
  <c r="S61" i="2"/>
  <c r="P61" i="2"/>
  <c r="U4" i="2"/>
  <c r="S4" i="2"/>
  <c r="P4" i="2"/>
  <c r="P63" i="2" l="1"/>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C18" i="9" s="1"/>
  <c r="J18" i="6"/>
  <c r="J19" i="6"/>
  <c r="C63" i="6"/>
  <c r="D64" i="6" s="1"/>
  <c r="C62" i="6"/>
  <c r="C8" i="6"/>
  <c r="L96" i="2"/>
  <c r="C61" i="6" s="1"/>
  <c r="C20" i="6"/>
  <c r="C10" i="9" s="1"/>
  <c r="C19" i="6"/>
  <c r="C9" i="9" s="1"/>
  <c r="D12" i="9" l="1"/>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<sst xmlns="http://schemas.openxmlformats.org/spreadsheetml/2006/main" count="404" uniqueCount="262">
  <si>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</si>
  <si>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</si>
  <si>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</si>
  <si>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</si>
  <si>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</si>
  <si>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</si>
  <si>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</si>
  <si>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</si>
  <si>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</si>
  <si>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</si>
  <si>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</si>
  <si>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</si>
  <si>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</si>
  <si>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</si>
  <si>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</si>
  <si>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</si>
  <si>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</si>
  <si>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</si>
  <si>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</si>
  <si>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</si>
  <si>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</si>
  <si>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</si>
  <si>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</si>
  <si>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</si>
  <si>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</si>
  <si>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</si>
  <si>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</si>
  <si>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</si>
  <si>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</si>
  <si>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</si>
  <si>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</si>
  <si>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</si>
  <si>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</si>
  <si>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</si>
  <si>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</si>
  <si>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</si>
  <si>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</si>
  <si>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</si>
  <si>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</si>
  <si>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</si>
  <si>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</si>
  <si>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</si>
  <si>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</si>
  <si>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</si>
  <si>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</si>
  <si>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</si>
  <si>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</si>
  <si>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</si>
  <si>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</si>
  <si>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</si>
  <si>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</si>
  <si>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</si>
  <si>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</si>
  <si>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</si>
  <si>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</si>
  <si>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</si>
  <si>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</si>
  <si>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</si>
  <si>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</si>
  <si>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</si>
  <si>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</si>
  <si>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</si>
  <si>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</si>
  <si>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</si>
  <si>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</si>
  <si>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</si>
  <si>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</si>
  <si>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</si>
  <si>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</si>
  <si>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</si>
  <si>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</si>
  <si>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</si>
  <si>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</si>
  <si>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</si>
  <si>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</si>
  <si>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</si>
  <si>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</si>
  <si>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</si>
  <si>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</si>
  <si>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</si>
  <si>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</si>
  <si>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</si>
  <si>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</si>
  <si>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</si>
  <si>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</si>
  <si>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</si>
  <si>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</si>
  <si>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</si>
  <si>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</si>
  <si>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</si>
  <si>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</si>
  <si>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</si>
  <si>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</si>
  <si>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</si>
  <si>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</si>
  <si>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</si>
  <si>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</si>
  <si>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</si>
  <si>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</si>
  <si>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</si>
  <si>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</si>
  <si>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</si>
  <si>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</si>
  <si>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</si>
  <si>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</si>
  <si>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</si>
  <si>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</si>
  <si>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</si>
  <si>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</si>
  <si>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</si>
  <si>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</si>
  <si>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</si>
  <si>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</si>
  <si>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</si>
  <si>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</si>
  <si>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</si>
  <si>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</si>
  <si>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</si>
  <si>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</si>
  <si>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</si>
  <si>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</si>
  <si>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</si>
  <si>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</si>
  <si>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</si>
  <si>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</si>
  <si>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</si>
  <si>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</si>
  <si>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</si>
  <si>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</si>
  <si>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</si>
  <si>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</si>
  <si>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</si>
  <si>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</si>
  <si>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</si>
  <si>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</si>
  <si>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</si>
  <si>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</si>
  <si>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</si>
  <si>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</si>
  <si>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</si>
  <si>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</si>
  <si>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</si>
  <si>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</si>
  <si>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</si>
  <si>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</si>
  <si>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</si>
  <si>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</si>
  <si>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</si>
  <si>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</si>
  <si>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</si>
  <si>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</si>
  <si>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</si>
  <si>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</si>
  <si>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</si>
  <si>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</si>
  <si>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</si>
  <si>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</si>
  <si>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</si>
  <si>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</si>
  <si>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</si>
  <si>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</si>
  <si>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</si>
  <si>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</si>
  <si>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</si>
  <si>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</si>
  <si>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</si>
  <si>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</si>
  <si>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</si>
  <si>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</si>
  <si>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</si>
  <si>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</si>
  <si>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</si>
  <si>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</si>
  <si>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</si>
  <si>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</si>
  <si>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</si>
  <si>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</si>
  <si>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</si>
  <si>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</si>
  <si>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</si>
  <si>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</si>
  <si>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</si>
  <si>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</si>
  <si>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</si>
  <si>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</si>
  <si>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</si>
  <si>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</si>
  <si>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</si>
  <si>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</si>
  <si>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</si>
  <si>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</si>
  <si>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</si>
  <si>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</si>
  <si>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</si>
  <si>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</si>
  <si>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</si>
  <si>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</si>
  <si>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</si>
  <si>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</si>
  <si>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</si>
  <si>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</si>
  <si>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</si>
  <si>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</si>
  <si>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</si>
  <si>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</si>
  <si>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</si>
  <si>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</si>
  <si>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</si>
  <si>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</si>
  <si>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</si>
  <si>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</si>
  <si>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</si>
  <si>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</si>
  <si>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</si>
  <si>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</si>
  <si>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</si>
  <si>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</si>
  <si>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</si>
  <si>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</si>
  <si>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</si>
  <si>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</si>
  <si>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</si>
  <si>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</si>
  <si>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</si>
  <si>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</si>
  <si>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</si>
  <si>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</si>
  <si>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</si>
  <si>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</si>
  <si>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</si>
  <si>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</si>
  <si>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</si>
  <si>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</si>
  <si>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</si>
  <si>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</si>
  <si>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</si>
  <si>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</si>
  <si>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</si>
  <si>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</si>
  <si>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</si>
  <si>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</si>
  <si>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</si>
  <si>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</si>
  <si>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</si>
  <si>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</si>
  <si>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</si>
  <si>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</si>
  <si>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</si>
  <si>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</si>
  <si>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</si>
  <si>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</si>
  <si>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</si>
  <si>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</si>
  <si>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</si>
  <si>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</si>
  <si>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</si>
  <si>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</si>
  <si>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</si>
  <si>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</si>
  <si>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</si>
  <si>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Part L1 - SAP 10.2</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</si>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</sst>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3.8873663999999999</c:v>
                </c:pt>
                <c:pt idx="2">
                  <c:v>3.8873663999999999</c:v>
                </c:pt>
                <c:pt idx="3">
                  <c:v>3.9122664</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7.9915247999999988</c:v>
                </c:pt>
                <c:pt idx="2">
                  <c:v>0</c:v>
                </c:pt>
                <c:pt idx="3">
                  <c:v>0</c:v>
                </c:pt>
                <c:pt idx="4">
                  <c:v>3.9122664</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11.878891199999998</c:v>
                </c:pt>
                <c:pt idx="1">
                  <c:v>11.878891199999998</c:v>
                </c:pt>
                <c:pt idx="2">
                  <c:v>11.878891199999998</c:v>
                </c:pt>
                <c:pt idx="3">
                  <c:v>11.878891199999998</c:v>
                </c:pt>
                <c:pt idx="4">
                  <c:v>11.878891199999998</c:v>
                </c:pt>
                <c:pt idx="5">
                  <c:v>11.878891199999998</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7.7212792799999992</c:v>
                </c:pt>
                <c:pt idx="1">
                  <c:v>7.7212792799999992</c:v>
                </c:pt>
                <c:pt idx="2">
                  <c:v>7.7212792799999992</c:v>
                </c:pt>
                <c:pt idx="3">
                  <c:v>7.7212792799999992</c:v>
                </c:pt>
                <c:pt idx="4">
                  <c:v>7.7212792799999992</c:v>
                </c:pt>
                <c:pt idx="5">
                  <c:v>7.7212792799999992</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5" zeroHeight="1"/>
  <cols>
    <col min="1" max="1" width="15.6328125" style="219" customWidth="1"/>
    <col min="2" max="2" width="19" style="219" customWidth="1"/>
    <col min="3" max="11" width="8.36328125" style="219" customWidth="1"/>
    <col min="12" max="12" width="47.54296875" style="219" customWidth="1"/>
    <col min="13" max="13" width="52.5429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75" customHeight="1">
      <c r="A4" s="228" t="s">
        <v>246</v>
      </c>
      <c r="B4" s="228"/>
      <c r="C4" s="228"/>
      <c r="D4" s="228"/>
      <c r="E4" s="228"/>
      <c r="F4" s="228"/>
      <c r="G4" s="228"/>
      <c r="H4" s="228"/>
      <c r="I4" s="228"/>
      <c r="J4" s="228"/>
      <c r="K4" s="228"/>
      <c r="L4" s="228"/>
    </row>
    <row r="5" spans="1:16384" ht="41.75" customHeight="1">
      <c r="A5" s="228" t="s">
        <v>247</v>
      </c>
      <c r="B5" s="228"/>
      <c r="C5" s="228"/>
      <c r="D5" s="228"/>
      <c r="E5" s="228"/>
      <c r="F5" s="228"/>
      <c r="G5" s="228"/>
      <c r="H5" s="228"/>
      <c r="I5" s="228"/>
      <c r="J5" s="228"/>
      <c r="K5" s="228"/>
      <c r="L5" s="228"/>
    </row>
    <row r="6" spans="1:16384" ht="32.7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5"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5"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C16" sqref="C16"/>
    </sheetView>
  </sheetViews>
  <sheetFormatPr defaultColWidth="0" defaultRowHeight="11.5" zeroHeight="1"/>
  <cols>
    <col min="1" max="1" width="41" style="202" bestFit="1" customWidth="1"/>
    <col min="2" max="3" width="39.6328125" style="202" customWidth="1"/>
    <col min="4" max="4" width="19.54296875" style="202" customWidth="1"/>
    <col min="5" max="5" width="39" style="202" customWidth="1"/>
    <col min="6" max="6" width="99.36328125" style="202" customWidth="1"/>
    <col min="7" max="7" width="65" style="202" customWidth="1"/>
    <col min="8" max="11" width="8.36328125" style="202" customWidth="1"/>
    <col min="12" max="16384" width="8.36328125" style="202" hidden="1"/>
  </cols>
  <sheetData>
    <row r="1" spans="1:6" s="199" customFormat="1" ht="15" customHeight="1">
      <c r="A1" s="198" t="s">
        <v>159</v>
      </c>
      <c r="B1" s="198"/>
      <c r="C1" s="198"/>
      <c r="F1" s="200"/>
    </row>
    <row r="2" spans="1:6" ht="37.5" customHeight="1">
      <c r="A2" s="255" t="s">
        <v>160</v>
      </c>
      <c r="B2" s="255"/>
      <c r="C2" s="201"/>
    </row>
    <row r="3" spans="1:6" ht="37.5" customHeight="1">
      <c r="A3" s="255" t="s">
        <v>161</v>
      </c>
      <c r="B3" s="255"/>
      <c r="C3" s="201" t="s">
        <v>261</v>
      </c>
    </row>
    <row r="4" spans="1:6" ht="37.5" customHeight="1">
      <c r="A4" s="255" t="s">
        <v>162</v>
      </c>
      <c r="B4" s="255"/>
      <c r="C4" s="201" t="s">
        <v>261</v>
      </c>
    </row>
    <row r="5" spans="1:6" ht="61.5" customHeight="1">
      <c r="A5" s="255" t="s">
        <v>163</v>
      </c>
      <c r="B5" s="255"/>
      <c r="C5" s="201"/>
      <c r="D5" s="203"/>
    </row>
    <row r="6" spans="1:6" ht="12" thickBot="1"/>
    <row r="7" spans="1:6" ht="23.5" thickTop="1">
      <c r="A7" s="204" t="s">
        <v>164</v>
      </c>
      <c r="B7" s="205"/>
      <c r="C7" s="205" t="s">
        <v>165</v>
      </c>
      <c r="D7" s="205" t="s">
        <v>166</v>
      </c>
      <c r="E7" s="206" t="s">
        <v>167</v>
      </c>
    </row>
    <row r="8" spans="1:6" ht="23">
      <c r="A8" s="249" t="s">
        <v>168</v>
      </c>
      <c r="B8" s="207" t="s">
        <v>0</v>
      </c>
      <c r="C8" s="207" t="s">
        <v>1</v>
      </c>
      <c r="D8" s="208"/>
      <c r="E8" s="208"/>
    </row>
    <row r="9" spans="1:6" ht="23">
      <c r="A9" s="249"/>
      <c r="B9" s="207" t="s">
        <v>2</v>
      </c>
      <c r="C9" s="207" t="s">
        <v>3</v>
      </c>
      <c r="D9" s="208"/>
      <c r="E9" s="208"/>
    </row>
    <row r="10" spans="1:6" ht="46">
      <c r="A10" s="249"/>
      <c r="B10" s="207" t="s">
        <v>4</v>
      </c>
      <c r="C10" s="207" t="s">
        <v>169</v>
      </c>
      <c r="D10" s="224"/>
      <c r="E10" s="208"/>
    </row>
    <row r="11" spans="1:6" ht="23">
      <c r="A11" s="249"/>
      <c r="B11" s="207" t="s">
        <v>170</v>
      </c>
      <c r="C11" s="207"/>
      <c r="D11" s="208"/>
      <c r="E11" s="208"/>
      <c r="F11" s="209"/>
    </row>
    <row r="12" spans="1:6" ht="25.5" customHeight="1">
      <c r="A12" s="249"/>
      <c r="B12" s="207" t="s">
        <v>171</v>
      </c>
      <c r="C12" s="207"/>
      <c r="D12" s="225"/>
      <c r="E12" s="208"/>
    </row>
    <row r="13" spans="1:6" ht="25.5" customHeight="1">
      <c r="A13" s="249"/>
      <c r="B13" s="207" t="s">
        <v>172</v>
      </c>
      <c r="C13" s="207"/>
      <c r="D13" s="224"/>
      <c r="E13" s="208"/>
    </row>
    <row r="14" spans="1:6" ht="23">
      <c r="A14" s="246" t="s">
        <v>173</v>
      </c>
      <c r="B14" s="207" t="s">
        <v>174</v>
      </c>
      <c r="C14" s="207"/>
      <c r="D14" s="208"/>
      <c r="E14" s="208"/>
    </row>
    <row r="15" spans="1:6" ht="23">
      <c r="A15" s="247"/>
      <c r="B15" s="207" t="s">
        <v>175</v>
      </c>
      <c r="C15" s="207"/>
      <c r="D15" s="208"/>
      <c r="E15" s="208"/>
    </row>
    <row r="16" spans="1:6" ht="23">
      <c r="A16" s="247"/>
      <c r="B16" s="207" t="s">
        <v>176</v>
      </c>
      <c r="C16" s="207"/>
      <c r="D16" s="208"/>
      <c r="E16" s="208"/>
    </row>
    <row r="17" spans="1:6" ht="23">
      <c r="A17" s="247"/>
      <c r="B17" s="207" t="s">
        <v>177</v>
      </c>
      <c r="C17" s="207"/>
      <c r="D17" s="208"/>
      <c r="E17" s="208"/>
    </row>
    <row r="18" spans="1:6" ht="14.75" customHeight="1">
      <c r="A18" s="247"/>
      <c r="B18" s="207" t="s">
        <v>178</v>
      </c>
      <c r="C18" s="207"/>
      <c r="D18" s="224"/>
      <c r="E18" s="208"/>
    </row>
    <row r="19" spans="1:6" ht="14.75" customHeight="1">
      <c r="A19" s="247"/>
      <c r="B19" s="207" t="s">
        <v>179</v>
      </c>
      <c r="C19" s="207"/>
      <c r="D19" s="224"/>
      <c r="E19" s="208"/>
    </row>
    <row r="20" spans="1:6" ht="14.75" customHeight="1">
      <c r="A20" s="248"/>
      <c r="B20" s="207" t="s">
        <v>180</v>
      </c>
      <c r="C20" s="207"/>
      <c r="D20" s="208"/>
      <c r="E20" s="208"/>
    </row>
    <row r="21" spans="1:6" ht="14.75" customHeight="1">
      <c r="A21" s="246" t="s">
        <v>181</v>
      </c>
      <c r="B21" s="210" t="s">
        <v>182</v>
      </c>
      <c r="C21" s="210"/>
      <c r="D21" s="208"/>
      <c r="E21" s="208"/>
    </row>
    <row r="22" spans="1:6" ht="23">
      <c r="A22" s="247"/>
      <c r="B22" s="210" t="s">
        <v>183</v>
      </c>
      <c r="C22" s="210"/>
      <c r="D22" s="208"/>
      <c r="E22" s="208"/>
    </row>
    <row r="23" spans="1:6" ht="14.75" customHeight="1">
      <c r="A23" s="247"/>
      <c r="B23" s="210" t="s">
        <v>184</v>
      </c>
      <c r="C23" s="210"/>
      <c r="D23" s="208"/>
      <c r="E23" s="208"/>
      <c r="F23" s="211"/>
    </row>
    <row r="24" spans="1:6" ht="14.75" customHeight="1">
      <c r="A24" s="248"/>
      <c r="B24" s="210" t="s">
        <v>185</v>
      </c>
      <c r="C24" s="210"/>
      <c r="D24" s="208"/>
      <c r="E24" s="208"/>
      <c r="F24" s="211"/>
    </row>
    <row r="25" spans="1:6" ht="23">
      <c r="A25" s="246" t="s">
        <v>186</v>
      </c>
      <c r="B25" s="207" t="s">
        <v>187</v>
      </c>
      <c r="C25" s="207"/>
      <c r="D25" s="208"/>
      <c r="E25" s="208"/>
    </row>
    <row r="26" spans="1:6" ht="12">
      <c r="A26" s="247"/>
      <c r="B26" s="207" t="s">
        <v>188</v>
      </c>
      <c r="C26" s="207"/>
      <c r="D26" s="208"/>
      <c r="E26" s="208"/>
    </row>
    <row r="27" spans="1:6" ht="12">
      <c r="A27" s="247"/>
      <c r="B27" s="207" t="s">
        <v>189</v>
      </c>
      <c r="C27" s="207"/>
      <c r="D27" s="208"/>
      <c r="E27" s="208"/>
    </row>
    <row r="28" spans="1:6" ht="13.5">
      <c r="A28" s="247"/>
      <c r="B28" s="207" t="s">
        <v>190</v>
      </c>
      <c r="C28" s="207"/>
      <c r="D28" s="224"/>
      <c r="E28" s="208"/>
    </row>
    <row r="29" spans="1:6" ht="34.5">
      <c r="A29" s="248"/>
      <c r="B29" s="207" t="s">
        <v>191</v>
      </c>
      <c r="C29" s="207" t="s">
        <v>192</v>
      </c>
      <c r="D29" s="208"/>
      <c r="E29" s="208"/>
    </row>
    <row r="30" spans="1:6" ht="23">
      <c r="A30" s="246" t="s">
        <v>193</v>
      </c>
      <c r="B30" s="207" t="s">
        <v>194</v>
      </c>
      <c r="C30" s="207" t="s">
        <v>195</v>
      </c>
      <c r="D30" s="208"/>
      <c r="E30" s="208"/>
      <c r="F30" s="212"/>
    </row>
    <row r="31" spans="1:6" ht="46">
      <c r="A31" s="247"/>
      <c r="B31" s="207" t="s">
        <v>196</v>
      </c>
      <c r="C31" s="207" t="s">
        <v>257</v>
      </c>
      <c r="D31" s="208"/>
      <c r="E31" s="208"/>
    </row>
    <row r="32" spans="1:6" ht="12">
      <c r="A32" s="247"/>
      <c r="B32" s="207" t="s">
        <v>197</v>
      </c>
      <c r="C32" s="207"/>
      <c r="D32" s="208"/>
      <c r="E32" s="208"/>
    </row>
    <row r="33" spans="1:5" ht="12">
      <c r="A33" s="247"/>
      <c r="B33" s="213" t="s">
        <v>198</v>
      </c>
      <c r="C33" s="207"/>
      <c r="D33" s="224"/>
      <c r="E33" s="208"/>
    </row>
    <row r="34" spans="1:5" ht="12">
      <c r="A34" s="247"/>
      <c r="B34" s="213" t="s">
        <v>199</v>
      </c>
      <c r="C34" s="207"/>
      <c r="D34" s="224"/>
      <c r="E34" s="208"/>
    </row>
    <row r="35" spans="1:5" ht="12">
      <c r="A35" s="248"/>
      <c r="B35" s="207" t="s">
        <v>200</v>
      </c>
      <c r="C35" s="207" t="s">
        <v>201</v>
      </c>
      <c r="D35" s="224"/>
      <c r="E35" s="208"/>
    </row>
    <row r="36" spans="1:5" ht="12">
      <c r="A36" s="246" t="s">
        <v>202</v>
      </c>
      <c r="B36" s="207" t="s">
        <v>203</v>
      </c>
      <c r="C36" s="207"/>
      <c r="D36" s="208"/>
      <c r="E36" s="208"/>
    </row>
    <row r="37" spans="1:5" ht="12">
      <c r="A37" s="247"/>
      <c r="B37" s="207" t="s">
        <v>204</v>
      </c>
      <c r="C37" s="207"/>
      <c r="D37" s="226"/>
      <c r="E37" s="208"/>
    </row>
    <row r="38" spans="1:5" ht="12">
      <c r="A38" s="247"/>
      <c r="B38" s="207" t="s">
        <v>205</v>
      </c>
      <c r="C38" s="207"/>
      <c r="D38" s="224"/>
      <c r="E38" s="208"/>
    </row>
    <row r="39" spans="1:5" ht="12">
      <c r="A39" s="247"/>
      <c r="B39" s="207" t="s">
        <v>206</v>
      </c>
      <c r="C39" s="207"/>
      <c r="D39" s="224"/>
      <c r="E39" s="208"/>
    </row>
    <row r="40" spans="1:5" ht="34.5">
      <c r="A40" s="247"/>
      <c r="B40" s="207" t="s">
        <v>207</v>
      </c>
      <c r="C40" s="207" t="s">
        <v>208</v>
      </c>
      <c r="D40" s="208"/>
      <c r="E40" s="208"/>
    </row>
    <row r="41" spans="1:5" ht="23">
      <c r="A41" s="247"/>
      <c r="B41" s="207" t="s">
        <v>209</v>
      </c>
      <c r="C41" s="207"/>
      <c r="D41" s="224"/>
      <c r="E41" s="208"/>
    </row>
    <row r="42" spans="1:5" ht="46">
      <c r="A42" s="247"/>
      <c r="B42" s="207" t="s">
        <v>210</v>
      </c>
      <c r="C42" s="213" t="s">
        <v>211</v>
      </c>
      <c r="D42" s="208"/>
      <c r="E42" s="208"/>
    </row>
    <row r="43" spans="1:5" ht="12">
      <c r="A43" s="247"/>
      <c r="B43" s="207" t="s">
        <v>212</v>
      </c>
      <c r="C43" s="207"/>
      <c r="D43" s="224"/>
      <c r="E43" s="208"/>
    </row>
    <row r="44" spans="1:5" ht="12">
      <c r="A44" s="247"/>
      <c r="B44" s="207" t="s">
        <v>213</v>
      </c>
      <c r="C44" s="207"/>
      <c r="D44" s="224"/>
      <c r="E44" s="208"/>
    </row>
    <row r="45" spans="1:5" ht="46">
      <c r="A45" s="248"/>
      <c r="B45" s="207" t="s">
        <v>214</v>
      </c>
      <c r="C45" s="207" t="s">
        <v>215</v>
      </c>
      <c r="D45" s="208"/>
      <c r="E45" s="208"/>
    </row>
    <row r="46" spans="1:5" ht="12">
      <c r="A46" s="249" t="s">
        <v>216</v>
      </c>
      <c r="B46" s="207" t="s">
        <v>217</v>
      </c>
      <c r="C46" s="207"/>
      <c r="D46" s="208"/>
      <c r="E46" s="208"/>
    </row>
    <row r="47" spans="1:5" ht="34.5">
      <c r="A47" s="249"/>
      <c r="B47" s="207" t="s">
        <v>218</v>
      </c>
      <c r="C47" s="207"/>
      <c r="D47" s="208"/>
      <c r="E47" s="208"/>
    </row>
    <row r="48" spans="1:5" ht="12">
      <c r="A48" s="249"/>
      <c r="B48" s="207" t="s">
        <v>219</v>
      </c>
      <c r="C48" s="207"/>
      <c r="D48" s="224"/>
      <c r="E48" s="208"/>
    </row>
    <row r="49" spans="1:5" ht="12">
      <c r="A49" s="249"/>
      <c r="B49" s="207" t="s">
        <v>220</v>
      </c>
      <c r="C49" s="207"/>
      <c r="D49" s="224"/>
      <c r="E49" s="208"/>
    </row>
    <row r="50" spans="1:5" ht="13.5">
      <c r="A50" s="249"/>
      <c r="B50" s="207" t="s">
        <v>221</v>
      </c>
      <c r="C50" s="207"/>
      <c r="D50" s="224"/>
      <c r="E50" s="208"/>
    </row>
    <row r="51" spans="1:5" ht="12">
      <c r="A51" s="249"/>
      <c r="B51" s="207" t="s">
        <v>222</v>
      </c>
      <c r="C51" s="207"/>
      <c r="D51" s="208"/>
      <c r="E51" s="208"/>
    </row>
    <row r="52" spans="1:5" ht="13.5">
      <c r="A52" s="249"/>
      <c r="B52" s="207" t="s">
        <v>223</v>
      </c>
      <c r="C52" s="207"/>
      <c r="D52" s="224"/>
      <c r="E52" s="208"/>
    </row>
    <row r="53" spans="1:5" ht="23">
      <c r="A53" s="246" t="s">
        <v>224</v>
      </c>
      <c r="B53" s="207" t="s">
        <v>225</v>
      </c>
      <c r="C53" s="207" t="s">
        <v>226</v>
      </c>
      <c r="D53" s="208"/>
      <c r="E53" s="208"/>
    </row>
    <row r="54" spans="1:5" ht="23">
      <c r="A54" s="247"/>
      <c r="B54" s="207" t="s">
        <v>227</v>
      </c>
      <c r="C54" s="207" t="s">
        <v>228</v>
      </c>
      <c r="D54" s="208"/>
      <c r="E54" s="208"/>
    </row>
    <row r="55" spans="1:5" ht="12">
      <c r="A55" s="247"/>
      <c r="B55" s="207" t="s">
        <v>229</v>
      </c>
      <c r="C55" s="207"/>
      <c r="D55" s="224"/>
      <c r="E55" s="208"/>
    </row>
    <row r="56" spans="1:5" ht="12">
      <c r="A56" s="247"/>
      <c r="B56" s="207" t="s">
        <v>230</v>
      </c>
      <c r="C56" s="207"/>
      <c r="D56" s="224"/>
      <c r="E56" s="208"/>
    </row>
    <row r="57" spans="1:5" ht="12">
      <c r="A57" s="248"/>
      <c r="B57" s="207" t="s">
        <v>231</v>
      </c>
      <c r="C57" s="207"/>
      <c r="D57" s="224"/>
      <c r="E57" s="208"/>
    </row>
    <row r="58" spans="1:5" ht="12">
      <c r="A58" s="250" t="s">
        <v>232</v>
      </c>
      <c r="B58" s="207" t="s">
        <v>233</v>
      </c>
      <c r="C58" s="207"/>
      <c r="D58" s="208"/>
      <c r="E58" s="208"/>
    </row>
    <row r="59" spans="1:5" ht="12">
      <c r="A59" s="251"/>
      <c r="B59" s="207" t="s">
        <v>234</v>
      </c>
      <c r="C59" s="207"/>
      <c r="D59" s="224"/>
      <c r="E59" s="208"/>
    </row>
    <row r="60" spans="1:5" ht="57.5">
      <c r="A60" s="246" t="s">
        <v>235</v>
      </c>
      <c r="B60" s="207" t="s">
        <v>236</v>
      </c>
      <c r="C60" s="207" t="s">
        <v>237</v>
      </c>
      <c r="D60" s="208"/>
      <c r="E60" s="208"/>
    </row>
    <row r="61" spans="1:5" ht="20.25" customHeight="1">
      <c r="A61" s="247"/>
      <c r="B61" s="207" t="s">
        <v>238</v>
      </c>
      <c r="C61" s="207"/>
      <c r="D61" s="208"/>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H2" zoomScaleNormal="100" workbookViewId="0">
      <selection activeCell="I9" sqref="I9"/>
    </sheetView>
  </sheetViews>
  <sheetFormatPr defaultColWidth="0" defaultRowHeight="14" zeroHeight="1"/>
  <cols>
    <col min="1" max="1" width="15.453125" style="12" customWidth="1"/>
    <col min="2" max="4" width="15.453125" style="3" customWidth="1"/>
    <col min="5" max="5" width="17.54296875" style="3" customWidth="1"/>
    <col min="6" max="6" width="17.54296875" style="2" customWidth="1"/>
    <col min="7" max="7" width="17.54296875" style="111" customWidth="1"/>
    <col min="8" max="8" width="17.54296875" style="3" customWidth="1"/>
    <col min="9" max="9" width="17.54296875" style="111" customWidth="1"/>
    <col min="10" max="10" width="17.54296875" style="2" customWidth="1"/>
    <col min="11" max="11" width="17.54296875" style="111" customWidth="1"/>
    <col min="12" max="14" width="17.54296875" style="2" customWidth="1"/>
    <col min="15" max="17" width="17.54296875" style="111" customWidth="1"/>
    <col min="18" max="19" width="17.54296875" style="3" customWidth="1"/>
    <col min="20" max="21" width="17.54296875" style="111" customWidth="1"/>
    <col min="22" max="22" width="13.36328125" style="2" customWidth="1"/>
    <col min="23" max="23" width="12.453125" style="2" customWidth="1"/>
    <col min="24" max="24" width="10.453125" style="2" customWidth="1"/>
    <col min="25" max="25" width="9.453125" style="2" customWidth="1"/>
    <col min="26" max="26" width="10.90625" style="2" customWidth="1"/>
    <col min="27" max="16384" width="8.363281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150000000000006"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v>947.28</v>
      </c>
      <c r="C7" s="110">
        <v>11</v>
      </c>
      <c r="D7" s="110">
        <v>947.28</v>
      </c>
      <c r="E7" s="164">
        <v>12.54</v>
      </c>
      <c r="F7" s="165">
        <v>-1209</v>
      </c>
      <c r="G7" s="166">
        <v>5.38</v>
      </c>
      <c r="H7" s="166">
        <v>5.38</v>
      </c>
      <c r="I7" s="166">
        <v>4.13</v>
      </c>
      <c r="J7" s="167">
        <v>36.28</v>
      </c>
      <c r="K7" s="167">
        <v>34.36</v>
      </c>
      <c r="L7" s="107">
        <f t="shared" ref="L7" si="0">IF($E7=0,"",D7*E7)</f>
        <v>11878.891199999998</v>
      </c>
      <c r="M7" s="107">
        <f t="shared" ref="M7:M57" si="1">IF($F7=0,"",($F7/$B7)*$D7)</f>
        <v>-1209</v>
      </c>
      <c r="N7" s="107">
        <f t="shared" ref="N7:N57" si="2">IF($G7=0,"",$D7*$G7)</f>
        <v>5096.3663999999999</v>
      </c>
      <c r="O7" s="108">
        <f>IF($G7=0,"",$N7+M7)</f>
        <v>3887.3663999999999</v>
      </c>
      <c r="P7" s="108">
        <f>IF($G7=0,"",$L7-O7)</f>
        <v>7991.5247999999983</v>
      </c>
      <c r="Q7" s="108">
        <f t="shared" ref="Q7:Q57" si="3">IF($H7=0,"",$D7*$H7)</f>
        <v>5096.3663999999999</v>
      </c>
      <c r="R7" s="108">
        <f>IF($H7=0,"",$Q7+$M7)</f>
        <v>3887.3663999999999</v>
      </c>
      <c r="S7" s="108">
        <f>IF($H7=0,"",$O7-$R7)</f>
        <v>0</v>
      </c>
      <c r="T7" s="108">
        <f>IF($I7=0,"",$D7*$I7)</f>
        <v>3912.2664</v>
      </c>
      <c r="U7" s="175">
        <f>IF($H7=0,"",$R7-$T7)</f>
        <v>-24.900000000000091</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11</v>
      </c>
      <c r="D58" s="7">
        <f>SUM(D7:D57)</f>
        <v>947.28</v>
      </c>
      <c r="E58" s="128">
        <f t="shared" ref="E58" si="11">IFERROR(SUMPRODUCT($D$7:$D$57,E7:E57)/$D$58,0)</f>
        <v>12.54</v>
      </c>
      <c r="F58" s="127">
        <f t="shared" ref="F58" si="12">IFERROR(SUMPRODUCT($D$7:$D$57,F7:F57)/$D$58,0)</f>
        <v>-1209</v>
      </c>
      <c r="G58" s="127">
        <f t="shared" ref="G58:I58" si="13">IFERROR(SUMPRODUCT($D$7:$D$57,G7:G57)/$D$58,0)</f>
        <v>5.38</v>
      </c>
      <c r="H58" s="127">
        <f t="shared" si="13"/>
        <v>5.38</v>
      </c>
      <c r="I58" s="127">
        <f t="shared" si="13"/>
        <v>4.13</v>
      </c>
      <c r="J58" s="127">
        <f>IFERROR(SUMPRODUCT($D$7:$D$57,J7:J57)/$D$58,0)</f>
        <v>36.279999999999994</v>
      </c>
      <c r="K58" s="127">
        <f>IFERROR(SUMPRODUCT($D$7:$D$57,K7:K57)/$D$58,0)</f>
        <v>34.36</v>
      </c>
      <c r="L58" s="102">
        <f>SUM(L7:L57)</f>
        <v>11878.891199999998</v>
      </c>
      <c r="M58" s="102">
        <f>SUM(M7:M57)</f>
        <v>-1209</v>
      </c>
      <c r="N58" s="102">
        <f t="shared" ref="N58:T58" si="14">SUM(N7:N57)</f>
        <v>5096.3663999999999</v>
      </c>
      <c r="O58" s="102">
        <f t="shared" si="14"/>
        <v>3887.3663999999999</v>
      </c>
      <c r="P58" s="102">
        <f t="shared" si="14"/>
        <v>7991.5247999999983</v>
      </c>
      <c r="Q58" s="102">
        <f t="shared" si="14"/>
        <v>5096.3663999999999</v>
      </c>
      <c r="R58" s="102">
        <f t="shared" si="14"/>
        <v>3887.3663999999999</v>
      </c>
      <c r="S58" s="102">
        <f t="shared" si="14"/>
        <v>0</v>
      </c>
      <c r="T58" s="102">
        <f t="shared" si="14"/>
        <v>3912.2664</v>
      </c>
      <c r="U58" s="176">
        <f t="shared" ref="U58" si="15">SUM(U7:U57)</f>
        <v>-24.900000000000091</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4">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0</v>
      </c>
      <c r="E94" s="152">
        <f>IFERROR(SUMPRODUCT($D$63:$D$93,E63:E93)/$D$94,0)</f>
        <v>0</v>
      </c>
      <c r="F94" s="184">
        <f t="shared" ref="F94:I94" si="26">IFERROR(SUMPRODUCT($D$63:$D$93,F63:F93)/$D$94,0)</f>
        <v>0</v>
      </c>
      <c r="G94" s="152">
        <f t="shared" si="26"/>
        <v>0</v>
      </c>
      <c r="H94" s="152">
        <f t="shared" si="26"/>
        <v>0</v>
      </c>
      <c r="I94" s="152">
        <f t="shared" si="26"/>
        <v>0</v>
      </c>
      <c r="J94" s="13"/>
      <c r="K94" s="119"/>
      <c r="L94" s="153">
        <f>SUM(L63:L93)</f>
        <v>0</v>
      </c>
      <c r="M94" s="153">
        <f t="shared" ref="M94:T94" si="27">SUM(M63:M93)</f>
        <v>0</v>
      </c>
      <c r="N94" s="153">
        <f t="shared" si="27"/>
        <v>0</v>
      </c>
      <c r="O94" s="153">
        <f t="shared" si="27"/>
        <v>0</v>
      </c>
      <c r="P94" s="153">
        <f t="shared" si="27"/>
        <v>0</v>
      </c>
      <c r="Q94" s="153">
        <f t="shared" si="27"/>
        <v>0</v>
      </c>
      <c r="R94" s="153">
        <f t="shared" si="27"/>
        <v>0</v>
      </c>
      <c r="S94" s="153">
        <f t="shared" si="27"/>
        <v>0</v>
      </c>
      <c r="T94" s="153">
        <f t="shared" si="27"/>
        <v>0</v>
      </c>
      <c r="U94" s="179">
        <f t="shared" ref="U94" si="28">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947.28</v>
      </c>
      <c r="E96" s="155" t="s">
        <v>22</v>
      </c>
      <c r="F96" s="155" t="s">
        <v>22</v>
      </c>
      <c r="G96" s="155" t="s">
        <v>22</v>
      </c>
      <c r="H96" s="155" t="s">
        <v>22</v>
      </c>
      <c r="I96" s="155" t="s">
        <v>22</v>
      </c>
      <c r="J96" s="122"/>
      <c r="K96" s="123"/>
      <c r="L96" s="156">
        <f>L58+L94</f>
        <v>11878.891199999998</v>
      </c>
      <c r="M96" s="156">
        <f t="shared" ref="M96:T96" si="29">M58+M94</f>
        <v>-1209</v>
      </c>
      <c r="N96" s="156">
        <f t="shared" si="29"/>
        <v>5096.3663999999999</v>
      </c>
      <c r="O96" s="156">
        <f t="shared" si="29"/>
        <v>3887.3663999999999</v>
      </c>
      <c r="P96" s="156">
        <f t="shared" si="29"/>
        <v>7991.5247999999983</v>
      </c>
      <c r="Q96" s="156">
        <f t="shared" si="29"/>
        <v>5096.3663999999999</v>
      </c>
      <c r="R96" s="156">
        <f t="shared" si="29"/>
        <v>3887.3663999999999</v>
      </c>
      <c r="S96" s="156">
        <f t="shared" ref="S96" si="30">S58+S94</f>
        <v>0</v>
      </c>
      <c r="T96" s="156">
        <f t="shared" si="29"/>
        <v>3912.2664</v>
      </c>
      <c r="U96" s="181">
        <f>U58+U94</f>
        <v>-24.900000000000091</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Normal="100" workbookViewId="0">
      <selection activeCell="D6" sqref="D6"/>
    </sheetView>
  </sheetViews>
  <sheetFormatPr defaultColWidth="0" defaultRowHeight="12.5" zeroHeight="1"/>
  <cols>
    <col min="1" max="1" width="22.54296875" style="60" customWidth="1"/>
    <col min="2" max="11" width="12.08984375" style="60" customWidth="1"/>
    <col min="12" max="13" width="12.08984375" style="61" customWidth="1"/>
    <col min="14" max="14" width="19" style="61" customWidth="1"/>
    <col min="15" max="15" width="21" style="61" customWidth="1"/>
    <col min="16" max="16" width="21.36328125" style="61" customWidth="1"/>
    <col min="17" max="17" width="22.08984375" style="61" customWidth="1"/>
    <col min="18" max="18" width="20.08984375" style="60" customWidth="1"/>
    <col min="19" max="19" width="19.36328125" style="60" customWidth="1"/>
    <col min="20" max="20" width="41.54296875" style="60" customWidth="1"/>
    <col min="21" max="26" width="8.6328125" style="60" customWidth="1"/>
    <col min="27" max="16384" width="8.632812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2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75"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v>947.28</v>
      </c>
      <c r="C6" s="75">
        <v>12207.91</v>
      </c>
      <c r="D6" s="75">
        <v>24805.52</v>
      </c>
      <c r="E6" s="75"/>
      <c r="F6" s="75"/>
      <c r="G6" s="75"/>
      <c r="H6" s="75"/>
      <c r="I6" s="75"/>
      <c r="J6" s="75">
        <v>10346.16</v>
      </c>
      <c r="K6" s="75"/>
      <c r="L6" s="76"/>
      <c r="M6" s="76"/>
      <c r="N6" s="293">
        <f>IF('EUI &amp; space heating demand'!B6="","",SUM('EUI &amp; space heating demand'!$D$6:$I$7)/SUM('EUI &amp; space heating demand'!$B$6:$B$7))</f>
        <v>26.186048475635506</v>
      </c>
      <c r="O6" s="293">
        <f>IF('EUI &amp; space heating demand'!B6="","",'EUI &amp; space heating demand'!C6/'EUI &amp; space heating demand'!B6)</f>
        <v>12.887330039692594</v>
      </c>
      <c r="P6" s="293">
        <f>IF('EUI &amp; space heating demand'!B6="","",Tables!B29)</f>
        <v>35</v>
      </c>
      <c r="Q6" s="293">
        <f>IF('EUI &amp; space heating demand'!B6="","",Tables!C29)</f>
        <v>15</v>
      </c>
      <c r="R6" s="77" t="s">
        <v>260</v>
      </c>
      <c r="S6" s="77"/>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947.28</v>
      </c>
      <c r="C8" s="63">
        <f>SUM(C6:C7)</f>
        <v>12207.91</v>
      </c>
      <c r="D8" s="63">
        <f t="shared" ref="D8:K8" si="0">SUM(D6:D7)</f>
        <v>24805.52</v>
      </c>
      <c r="E8" s="63">
        <f t="shared" si="0"/>
        <v>0</v>
      </c>
      <c r="F8" s="63">
        <f t="shared" si="0"/>
        <v>0</v>
      </c>
      <c r="G8" s="63">
        <f t="shared" si="0"/>
        <v>0</v>
      </c>
      <c r="H8" s="63">
        <f t="shared" si="0"/>
        <v>0</v>
      </c>
      <c r="I8" s="63">
        <f t="shared" si="0"/>
        <v>0</v>
      </c>
      <c r="J8" s="63">
        <f t="shared" si="0"/>
        <v>10346.16</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2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4" zoomScale="68" zoomScaleNormal="68" workbookViewId="0">
      <selection activeCell="C22" sqref="C22"/>
    </sheetView>
  </sheetViews>
  <sheetFormatPr defaultColWidth="8.36328125" defaultRowHeight="12.5"/>
  <cols>
    <col min="1" max="1" width="5.54296875" style="2" customWidth="1"/>
    <col min="2" max="2" width="28.08984375" style="2" customWidth="1"/>
    <col min="3" max="4" width="28.08984375" style="16" customWidth="1"/>
    <col min="5" max="5" width="22.90625" style="2" customWidth="1"/>
    <col min="6" max="6" width="24.36328125" style="2" customWidth="1"/>
    <col min="7" max="7" width="5.54296875" style="2" customWidth="1"/>
    <col min="8" max="10" width="28.08984375" style="2" customWidth="1"/>
    <col min="11" max="11" width="18" style="2" customWidth="1"/>
    <col min="12" max="12" width="14.08984375" style="2" customWidth="1"/>
    <col min="13" max="13" width="10.90625" style="2" customWidth="1"/>
    <col min="14" max="16384" width="8.363281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4" customHeight="1">
      <c r="B4" s="53" t="s">
        <v>64</v>
      </c>
      <c r="C4" s="87"/>
      <c r="D4" s="87"/>
      <c r="E4" s="53"/>
      <c r="F4" s="20"/>
      <c r="G4" s="53"/>
      <c r="H4" s="53" t="s">
        <v>65</v>
      </c>
      <c r="I4" s="87"/>
      <c r="J4" s="87"/>
      <c r="K4" s="53"/>
      <c r="L4" s="53"/>
      <c r="M4" s="88"/>
    </row>
    <row r="5" spans="1:13" s="22" customFormat="1" ht="14"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11.878891199999998</v>
      </c>
      <c r="D8" s="66"/>
      <c r="E8" s="54"/>
      <c r="F8" s="26"/>
      <c r="G8" s="54"/>
      <c r="H8" s="24" t="s">
        <v>69</v>
      </c>
      <c r="I8" s="25">
        <f>'Part L Outputs'!L94/1000</f>
        <v>0</v>
      </c>
      <c r="J8" s="66"/>
      <c r="K8" s="81"/>
      <c r="L8" s="81"/>
      <c r="M8" s="90"/>
    </row>
    <row r="9" spans="1:13" s="27" customFormat="1" ht="45" customHeight="1">
      <c r="B9" s="24" t="s">
        <v>70</v>
      </c>
      <c r="C9" s="25">
        <f>'Part L Outputs'!O58/1000</f>
        <v>3.8873663999999999</v>
      </c>
      <c r="D9" s="66"/>
      <c r="E9" s="54"/>
      <c r="F9" s="26"/>
      <c r="G9" s="54"/>
      <c r="H9" s="24" t="s">
        <v>70</v>
      </c>
      <c r="I9" s="25">
        <f>'Part L Outputs'!O94/1000</f>
        <v>0</v>
      </c>
      <c r="J9" s="66"/>
      <c r="K9" s="81"/>
      <c r="L9" s="81"/>
      <c r="M9" s="90"/>
    </row>
    <row r="10" spans="1:13" s="27" customFormat="1" ht="45" customHeight="1">
      <c r="B10" s="24" t="s">
        <v>71</v>
      </c>
      <c r="C10" s="25">
        <f>'Part L Outputs'!R58/1000</f>
        <v>3.8873663999999999</v>
      </c>
      <c r="D10" s="66"/>
      <c r="E10" s="54"/>
      <c r="F10" s="26"/>
      <c r="G10" s="54"/>
      <c r="H10" s="24" t="s">
        <v>71</v>
      </c>
      <c r="I10" s="25">
        <f>'Part L Outputs'!R94/1000</f>
        <v>0</v>
      </c>
      <c r="J10" s="66"/>
      <c r="K10" s="81"/>
      <c r="L10" s="81"/>
      <c r="M10" s="90"/>
    </row>
    <row r="11" spans="1:13" s="27" customFormat="1" ht="45" customHeight="1">
      <c r="B11" s="24" t="s">
        <v>72</v>
      </c>
      <c r="C11" s="25">
        <f>'Part L Outputs'!T58/1000</f>
        <v>3.9122664</v>
      </c>
      <c r="D11" s="66"/>
      <c r="E11" s="185"/>
      <c r="F11" s="26"/>
      <c r="G11" s="54"/>
      <c r="H11" s="24" t="s">
        <v>72</v>
      </c>
      <c r="I11" s="25">
        <f>'Part L Outputs'!T94/1000</f>
        <v>0</v>
      </c>
      <c r="J11" s="66"/>
      <c r="K11" s="81"/>
      <c r="L11" s="81"/>
      <c r="M11" s="90"/>
    </row>
    <row r="12" spans="1:13" s="19" customFormat="1" ht="15.5">
      <c r="B12" s="2"/>
      <c r="C12" s="16"/>
      <c r="D12" s="16"/>
      <c r="E12" s="2"/>
      <c r="F12" s="17"/>
      <c r="G12" s="2"/>
      <c r="H12" s="28"/>
      <c r="I12" s="73"/>
      <c r="J12" s="73"/>
      <c r="K12" s="28"/>
      <c r="L12" s="28"/>
      <c r="M12" s="86"/>
    </row>
    <row r="13" spans="1:13" s="19" customFormat="1" ht="15.5">
      <c r="B13" s="2"/>
      <c r="C13" s="16"/>
      <c r="D13" s="16"/>
      <c r="E13" s="2"/>
      <c r="F13" s="17"/>
      <c r="G13" s="2"/>
      <c r="H13" s="28"/>
      <c r="I13" s="73"/>
      <c r="J13" s="73"/>
      <c r="K13" s="28"/>
      <c r="L13" s="28"/>
      <c r="M13" s="86"/>
    </row>
    <row r="14" spans="1:13" s="21" customFormat="1" ht="14" customHeight="1">
      <c r="B14" s="53" t="s">
        <v>73</v>
      </c>
      <c r="C14" s="87"/>
      <c r="D14" s="87"/>
      <c r="E14" s="53"/>
      <c r="F14" s="20"/>
      <c r="G14" s="53"/>
      <c r="H14" s="53" t="s">
        <v>74</v>
      </c>
      <c r="I14" s="87"/>
      <c r="J14" s="87"/>
      <c r="K14" s="53"/>
      <c r="L14" s="53"/>
      <c r="M14" s="88"/>
    </row>
    <row r="15" spans="1:13" s="19" customFormat="1" ht="15.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7.9915247999999988</v>
      </c>
      <c r="D18" s="31">
        <f>IFERROR(C18/C8,0)</f>
        <v>0.67275006273312776</v>
      </c>
      <c r="E18" s="28"/>
      <c r="F18" s="29"/>
      <c r="G18" s="28"/>
      <c r="H18" s="24" t="s">
        <v>79</v>
      </c>
      <c r="I18" s="25">
        <f>I8-I9</f>
        <v>0</v>
      </c>
      <c r="J18" s="31">
        <f>IFERROR(I18/I8,0)</f>
        <v>0</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-2.4900000000000144E-2</v>
      </c>
      <c r="D20" s="31">
        <f>IFERROR(C20/C8,0)</f>
        <v>-2.0961552371150725E-3</v>
      </c>
      <c r="E20" s="28"/>
      <c r="F20" s="29"/>
      <c r="G20" s="28"/>
      <c r="H20" s="24" t="s">
        <v>81</v>
      </c>
      <c r="I20" s="25">
        <f>I10-I11</f>
        <v>0</v>
      </c>
      <c r="J20" s="31">
        <f>IFERROR(I20/I8,0)</f>
        <v>0</v>
      </c>
      <c r="K20" s="28"/>
      <c r="L20" s="28"/>
      <c r="M20" s="91"/>
    </row>
    <row r="21" spans="2:13" s="30" customFormat="1" ht="45" customHeight="1">
      <c r="B21" s="32" t="s">
        <v>82</v>
      </c>
      <c r="C21" s="33">
        <f>C8-C11</f>
        <v>7.9666247999999982</v>
      </c>
      <c r="D21" s="34">
        <f>IFERROR(C21/C8,0)</f>
        <v>0.67065390749601272</v>
      </c>
      <c r="E21" s="28"/>
      <c r="F21" s="29"/>
      <c r="G21" s="28"/>
      <c r="H21" s="32" t="s">
        <v>83</v>
      </c>
      <c r="I21" s="33">
        <f>I8-I11</f>
        <v>0</v>
      </c>
      <c r="J21" s="34">
        <f>IFERROR(I21/I8,0)</f>
        <v>0</v>
      </c>
      <c r="K21" s="92"/>
      <c r="L21" s="28"/>
      <c r="M21" s="91"/>
    </row>
    <row r="22" spans="2:13" s="30" customFormat="1" ht="45" customHeight="1">
      <c r="B22" s="24" t="s">
        <v>84</v>
      </c>
      <c r="C22" s="25">
        <f>(C8-C21)</f>
        <v>3.9122664</v>
      </c>
      <c r="D22" s="35" t="s">
        <v>22</v>
      </c>
      <c r="E22" s="28"/>
      <c r="F22" s="29"/>
      <c r="G22" s="28"/>
      <c r="H22" s="24" t="s">
        <v>84</v>
      </c>
      <c r="I22" s="25">
        <f>(I8-I21)</f>
        <v>0</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117.367992</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11149.95924</v>
      </c>
      <c r="D25" s="35"/>
      <c r="E25" s="28"/>
      <c r="F25" s="29"/>
      <c r="G25" s="28"/>
      <c r="H25" s="32" t="s">
        <v>87</v>
      </c>
      <c r="I25" s="36">
        <f>IFERROR(IF('Development Information'!$D$10=0,I22*95*30,I22*'Development Information'!$D$10*30),"")</f>
        <v>0</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5">
      <c r="B27" s="309"/>
      <c r="C27" s="309"/>
      <c r="D27" s="309"/>
      <c r="E27" s="55"/>
      <c r="F27" s="37"/>
      <c r="G27" s="55"/>
      <c r="H27" s="300"/>
      <c r="I27" s="300"/>
      <c r="J27" s="300"/>
      <c r="K27" s="55"/>
      <c r="L27" s="55"/>
      <c r="M27" s="91"/>
    </row>
    <row r="28" spans="2:13" s="28" customFormat="1" ht="15.5">
      <c r="C28" s="73"/>
      <c r="D28" s="73"/>
      <c r="F28" s="37"/>
      <c r="G28" s="55"/>
      <c r="L28" s="55"/>
      <c r="M28" s="29"/>
    </row>
    <row r="29" spans="2:13" s="28" customFormat="1" ht="15.5">
      <c r="C29" s="73"/>
      <c r="D29" s="73"/>
      <c r="F29" s="37"/>
      <c r="G29" s="55"/>
      <c r="L29" s="55"/>
      <c r="M29" s="29"/>
    </row>
    <row r="30" spans="2:13" s="28" customFormat="1" ht="51.75" customHeight="1">
      <c r="F30" s="37"/>
      <c r="G30" s="55"/>
      <c r="L30" s="55"/>
      <c r="M30" s="29"/>
    </row>
    <row r="31" spans="2:13" s="28" customFormat="1" ht="15.5">
      <c r="F31" s="37"/>
      <c r="G31" s="55"/>
      <c r="L31" s="55"/>
      <c r="M31" s="29"/>
    </row>
    <row r="32" spans="2:13" s="28" customFormat="1" ht="15.5">
      <c r="F32" s="37"/>
      <c r="G32" s="55"/>
      <c r="L32" s="55"/>
      <c r="M32" s="29"/>
    </row>
    <row r="33" spans="6:13" s="28" customFormat="1" ht="15.5">
      <c r="F33" s="37"/>
      <c r="G33" s="55"/>
      <c r="L33" s="55"/>
      <c r="M33" s="29"/>
    </row>
    <row r="34" spans="6:13" s="28" customFormat="1" ht="71.25" customHeight="1">
      <c r="F34" s="37"/>
      <c r="G34" s="55"/>
      <c r="L34" s="55"/>
      <c r="M34" s="29"/>
    </row>
    <row r="35" spans="6:13" s="28" customFormat="1" ht="15.5">
      <c r="F35" s="37"/>
      <c r="G35" s="55"/>
      <c r="L35" s="55"/>
      <c r="M35" s="29"/>
    </row>
    <row r="36" spans="6:13" s="28" customFormat="1" ht="15.5">
      <c r="F36" s="37"/>
      <c r="G36" s="55"/>
      <c r="L36" s="55"/>
      <c r="M36" s="29"/>
    </row>
    <row r="37" spans="6:13" ht="15.5">
      <c r="F37" s="37"/>
      <c r="G37" s="55"/>
      <c r="L37" s="55"/>
      <c r="M37" s="17"/>
    </row>
    <row r="38" spans="6:13" ht="15.5">
      <c r="F38" s="37"/>
      <c r="G38" s="55"/>
      <c r="L38" s="55"/>
      <c r="M38" s="17"/>
    </row>
    <row r="39" spans="6:13" ht="15.5">
      <c r="F39" s="37"/>
      <c r="G39" s="55"/>
      <c r="L39" s="55"/>
      <c r="M39" s="17"/>
    </row>
    <row r="40" spans="6:13" ht="15.5">
      <c r="F40" s="37"/>
      <c r="G40" s="55"/>
      <c r="L40" s="55"/>
      <c r="M40" s="17"/>
    </row>
    <row r="41" spans="6:13" ht="15.5">
      <c r="F41" s="37"/>
      <c r="G41" s="55"/>
      <c r="L41" s="55"/>
      <c r="M41" s="17"/>
    </row>
    <row r="42" spans="6:13" ht="15.5">
      <c r="F42" s="37"/>
      <c r="G42" s="55"/>
      <c r="L42" s="55"/>
      <c r="M42" s="17"/>
    </row>
    <row r="43" spans="6:13" ht="15.5">
      <c r="F43" s="37"/>
      <c r="G43" s="55"/>
      <c r="L43" s="55"/>
      <c r="M43" s="17"/>
    </row>
    <row r="44" spans="6:13" ht="15.5">
      <c r="F44" s="37"/>
      <c r="G44" s="55"/>
      <c r="L44" s="55"/>
      <c r="M44" s="17"/>
    </row>
    <row r="45" spans="6:13" ht="15.5">
      <c r="F45" s="37"/>
      <c r="G45" s="55"/>
      <c r="L45" s="55"/>
      <c r="M45" s="17"/>
    </row>
    <row r="46" spans="6:13" ht="15.5">
      <c r="F46" s="37"/>
      <c r="G46" s="55"/>
      <c r="L46" s="55"/>
      <c r="M46" s="17"/>
    </row>
    <row r="47" spans="6:13" ht="15.5">
      <c r="F47" s="37"/>
      <c r="G47" s="55"/>
      <c r="L47" s="55"/>
      <c r="M47" s="17"/>
    </row>
    <row r="48" spans="6:13" ht="15.5">
      <c r="F48" s="37"/>
      <c r="G48" s="55"/>
      <c r="L48" s="55"/>
      <c r="M48" s="17"/>
    </row>
    <row r="49" spans="1:13" ht="15.5">
      <c r="F49" s="37"/>
      <c r="G49" s="55"/>
      <c r="L49" s="55"/>
      <c r="M49" s="17"/>
    </row>
    <row r="50" spans="1:13" ht="15.5">
      <c r="F50" s="37"/>
      <c r="G50" s="55"/>
      <c r="L50" s="55"/>
      <c r="M50" s="17"/>
    </row>
    <row r="51" spans="1:13" ht="15.5">
      <c r="F51" s="37"/>
      <c r="G51" s="55"/>
      <c r="L51" s="55"/>
      <c r="M51" s="17"/>
    </row>
    <row r="52" spans="1:13" ht="15.5">
      <c r="F52" s="37"/>
      <c r="G52" s="55"/>
      <c r="L52" s="55"/>
      <c r="M52" s="17"/>
    </row>
    <row r="53" spans="1:13" ht="15.5">
      <c r="F53" s="37"/>
      <c r="G53" s="55"/>
      <c r="L53" s="55"/>
      <c r="M53" s="17"/>
    </row>
    <row r="54" spans="1:13" ht="15.5">
      <c r="F54" s="37"/>
      <c r="G54" s="55"/>
      <c r="L54" s="55"/>
      <c r="M54" s="17"/>
    </row>
    <row r="55" spans="1:13" ht="15.5">
      <c r="F55" s="37"/>
      <c r="G55" s="55"/>
      <c r="L55" s="55"/>
      <c r="M55" s="17"/>
    </row>
    <row r="56" spans="1:13" ht="15.5">
      <c r="F56" s="37"/>
      <c r="G56" s="55"/>
      <c r="L56" s="55"/>
      <c r="M56" s="17"/>
    </row>
    <row r="57" spans="1:13" ht="15.5">
      <c r="F57" s="37"/>
      <c r="G57" s="55"/>
      <c r="L57" s="55"/>
      <c r="M57" s="17"/>
    </row>
    <row r="58" spans="1:13" s="38" customFormat="1" ht="25">
      <c r="A58" s="57"/>
      <c r="B58" s="310" t="s">
        <v>89</v>
      </c>
      <c r="C58" s="310"/>
      <c r="D58" s="310"/>
      <c r="E58" s="310"/>
      <c r="F58" s="310"/>
      <c r="G58" s="83"/>
      <c r="H58" s="83"/>
      <c r="I58" s="83"/>
      <c r="J58" s="83"/>
      <c r="K58" s="83"/>
      <c r="L58" s="82"/>
      <c r="M58" s="93"/>
    </row>
    <row r="59" spans="1:13" s="28" customFormat="1" ht="15.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5" customHeight="1">
      <c r="B61" s="39" t="s">
        <v>96</v>
      </c>
      <c r="C61" s="40">
        <f>'Part L Outputs'!L96/1000</f>
        <v>11.878891199999998</v>
      </c>
      <c r="D61" s="41"/>
      <c r="E61" s="42"/>
      <c r="F61" s="56">
        <f>$C$61</f>
        <v>11.878891199999998</v>
      </c>
      <c r="G61" s="56"/>
      <c r="H61" s="48" t="s">
        <v>97</v>
      </c>
      <c r="I61" s="49">
        <f>IFERROR('Part L Outputs'!J58,"")</f>
        <v>36.279999999999994</v>
      </c>
      <c r="J61" s="49">
        <f>IFERROR('Part L Outputs'!K58,"")</f>
        <v>34.36</v>
      </c>
      <c r="K61" s="44">
        <f>IFERROR(1-J61/I61,"")</f>
        <v>5.292171995589845E-2</v>
      </c>
      <c r="L61" s="55"/>
      <c r="M61" s="91"/>
    </row>
    <row r="62" spans="1:13" s="30" customFormat="1" ht="40.25" customHeight="1">
      <c r="B62" s="43" t="s">
        <v>98</v>
      </c>
      <c r="C62" s="40">
        <f>'Part L Outputs'!O96/1000</f>
        <v>3.8873663999999999</v>
      </c>
      <c r="D62" s="40">
        <f>C61-C62</f>
        <v>7.9915247999999988</v>
      </c>
      <c r="E62" s="44">
        <f>IFERROR(D62/C61,0)</f>
        <v>0.67275006273312776</v>
      </c>
      <c r="F62" s="56">
        <f>$C$61</f>
        <v>11.878891199999998</v>
      </c>
      <c r="G62" s="56"/>
      <c r="H62" s="28"/>
      <c r="I62" s="73"/>
      <c r="J62" s="73"/>
      <c r="K62" s="28"/>
      <c r="L62" s="55"/>
      <c r="M62" s="91"/>
    </row>
    <row r="63" spans="1:13" s="30" customFormat="1" ht="40.25" customHeight="1">
      <c r="B63" s="43" t="s">
        <v>99</v>
      </c>
      <c r="C63" s="40">
        <f>'Part L Outputs'!R96/1000</f>
        <v>3.8873663999999999</v>
      </c>
      <c r="D63" s="40">
        <f>C62-C63</f>
        <v>0</v>
      </c>
      <c r="E63" s="44">
        <f>IFERROR(D63/C61,0)</f>
        <v>0</v>
      </c>
      <c r="F63" s="56">
        <f>$C$61</f>
        <v>11.878891199999998</v>
      </c>
      <c r="G63" s="56"/>
      <c r="H63" s="28"/>
      <c r="I63" s="73"/>
      <c r="J63" s="73"/>
      <c r="K63" s="28"/>
      <c r="L63" s="55"/>
      <c r="M63" s="91"/>
    </row>
    <row r="64" spans="1:13" s="30" customFormat="1" ht="64">
      <c r="B64" s="43" t="s">
        <v>100</v>
      </c>
      <c r="C64" s="40">
        <f>'Part L Outputs'!T96/1000</f>
        <v>3.9122664</v>
      </c>
      <c r="D64" s="40">
        <f>C63-C64</f>
        <v>-2.4900000000000144E-2</v>
      </c>
      <c r="E64" s="44">
        <f>IFERROR(D64/C61,0)</f>
        <v>-2.0961552371150725E-3</v>
      </c>
      <c r="F64" s="56">
        <f>$C$61</f>
        <v>11.878891199999998</v>
      </c>
      <c r="G64" s="56"/>
      <c r="H64" s="71"/>
      <c r="I64" s="71" t="s">
        <v>258</v>
      </c>
      <c r="J64" s="71" t="s">
        <v>158</v>
      </c>
      <c r="K64" s="28"/>
      <c r="L64" s="55"/>
      <c r="M64" s="91"/>
    </row>
    <row r="65" spans="1:14" s="30" customFormat="1" ht="40.25" customHeight="1">
      <c r="B65" s="43" t="s">
        <v>101</v>
      </c>
      <c r="C65" s="45" t="s">
        <v>22</v>
      </c>
      <c r="D65" s="40">
        <f>SUM(D62:D64)</f>
        <v>7.9666247999999982</v>
      </c>
      <c r="E65" s="44">
        <f>IFERROR(D65/C61,0)</f>
        <v>0.67065390749601272</v>
      </c>
      <c r="F65" s="56">
        <f>$C$61</f>
        <v>11.878891199999998</v>
      </c>
      <c r="G65" s="56"/>
      <c r="H65" s="48" t="s">
        <v>102</v>
      </c>
      <c r="I65" s="67"/>
      <c r="J65" s="67"/>
      <c r="K65" s="28"/>
      <c r="L65" s="55"/>
      <c r="M65" s="91"/>
    </row>
    <row r="66" spans="1:14" s="30" customFormat="1" ht="40.25" customHeight="1">
      <c r="B66" s="39"/>
      <c r="C66" s="45" t="s">
        <v>22</v>
      </c>
      <c r="D66" s="46" t="s">
        <v>103</v>
      </c>
      <c r="E66" s="44" t="s">
        <v>22</v>
      </c>
      <c r="F66" s="53"/>
      <c r="G66" s="53"/>
      <c r="H66" s="48" t="s">
        <v>104</v>
      </c>
      <c r="I66" s="67"/>
      <c r="J66" s="67"/>
      <c r="K66" s="28"/>
      <c r="L66" s="55"/>
      <c r="M66" s="91"/>
    </row>
    <row r="67" spans="1:14" s="30" customFormat="1" ht="40.25" customHeight="1">
      <c r="B67" s="39" t="s">
        <v>105</v>
      </c>
      <c r="C67" s="45" t="s">
        <v>22</v>
      </c>
      <c r="D67" s="47">
        <f>C24+I24</f>
        <v>117.367992</v>
      </c>
      <c r="E67" s="44" t="s">
        <v>22</v>
      </c>
      <c r="F67" s="53"/>
      <c r="G67" s="53"/>
      <c r="H67" s="28"/>
      <c r="I67" s="28"/>
      <c r="J67" s="28"/>
      <c r="K67" s="28"/>
      <c r="L67" s="55"/>
      <c r="M67" s="91"/>
    </row>
    <row r="68" spans="1:14" s="28" customFormat="1" ht="15.5">
      <c r="C68" s="73"/>
      <c r="D68" s="73"/>
      <c r="L68" s="55"/>
      <c r="M68" s="29"/>
    </row>
    <row r="69" spans="1:14" ht="25">
      <c r="A69" s="57"/>
      <c r="B69" s="310" t="s">
        <v>106</v>
      </c>
      <c r="C69" s="310"/>
      <c r="D69" s="310"/>
      <c r="E69" s="310"/>
      <c r="F69" s="310"/>
      <c r="G69" s="83"/>
      <c r="H69" s="83"/>
      <c r="I69" s="83"/>
      <c r="J69" s="83"/>
      <c r="K69" s="83"/>
      <c r="L69" s="82"/>
      <c r="M69" s="59"/>
    </row>
    <row r="70" spans="1:14" ht="44.15" customHeight="1">
      <c r="B70" s="189" t="s">
        <v>61</v>
      </c>
      <c r="L70" s="55"/>
      <c r="M70" s="17"/>
    </row>
    <row r="71" spans="1:14" ht="105.5">
      <c r="B71" s="71" t="s">
        <v>27</v>
      </c>
      <c r="C71" s="71" t="s">
        <v>44</v>
      </c>
      <c r="D71" s="71" t="s">
        <v>45</v>
      </c>
      <c r="E71" s="71" t="s">
        <v>46</v>
      </c>
      <c r="F71" s="71" t="s">
        <v>107</v>
      </c>
      <c r="G71" s="303" t="s">
        <v>108</v>
      </c>
      <c r="H71" s="303"/>
      <c r="I71" s="295" t="s">
        <v>109</v>
      </c>
      <c r="J71" s="304"/>
      <c r="K71" s="305"/>
      <c r="M71" s="91"/>
    </row>
    <row r="72" spans="1:14" ht="67.25" customHeight="1">
      <c r="B72" s="39" t="str">
        <f>IF('EUI &amp; space heating demand'!$B$6="","","Residential")</f>
        <v>Residential</v>
      </c>
      <c r="C72" s="39">
        <f>IF('EUI &amp; space heating demand'!$B$6="","",'EUI &amp; space heating demand'!N6)</f>
        <v>26.186048475635506</v>
      </c>
      <c r="D72" s="39">
        <f>IF('EUI &amp; space heating demand'!$B$6="","",'EUI &amp; space heating demand'!O6)</f>
        <v>12.887330039692594</v>
      </c>
      <c r="E72" s="97">
        <f>IF('EUI &amp; space heating demand'!B6="","", 'EUI &amp; space heating demand'!P6)</f>
        <v>35</v>
      </c>
      <c r="F72" s="97">
        <f>IF('EUI &amp; space heating demand'!B6="","", 'EUI &amp; space heating demand'!Q6)</f>
        <v>15</v>
      </c>
      <c r="G72" s="316" t="str">
        <f>IF('EUI &amp; space heating demand'!$B$6="","",CONCATENATE('EUI &amp; space heating demand'!R6, " &amp; ", 'EUI &amp; space heating demand'!S6,  " dwellings / ", 'EUI &amp; space heating demand'!R7, " &amp; ", 'EUI &amp; space heating demand'!S7, " Landlord Circulation " ))</f>
        <v xml:space="preserve">Part L1 - SAP 10.2 &amp;  dwellings /  &amp;  Landlord Circulation </v>
      </c>
      <c r="H72" s="317"/>
      <c r="I72" s="297" t="str">
        <f>IF('EUI &amp; space heating demand'!T6="","", CONCATENATE('EUI &amp; space heating demand'!T6, " &amp; ", 'EUI &amp; space heating demand'!T7))</f>
        <v/>
      </c>
      <c r="J72" s="297"/>
      <c r="K72" s="298"/>
      <c r="M72" s="91"/>
    </row>
    <row r="73" spans="1:14" s="193" customFormat="1" ht="67.25" customHeight="1">
      <c r="B73" s="189" t="s">
        <v>63</v>
      </c>
      <c r="C73" s="194"/>
      <c r="D73" s="194"/>
      <c r="E73" s="195"/>
      <c r="F73" s="195"/>
      <c r="G73" s="196"/>
      <c r="H73" s="196"/>
      <c r="I73" s="196"/>
      <c r="J73" s="196"/>
      <c r="K73" s="196"/>
      <c r="M73" s="91"/>
      <c r="N73" s="2"/>
    </row>
    <row r="74" spans="1:14" ht="105.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11" t="str">
        <f>IF('EUI &amp; space heating demand'!B13="","",CONCATENATE('EUI &amp; space heating demand'!R13," &amp; ",'EUI &amp; space heating demand'!S13))</f>
        <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5">
      <c r="G95" s="2"/>
      <c r="H95" s="2"/>
      <c r="I95" s="2"/>
      <c r="J95" s="2"/>
      <c r="K95" s="2"/>
      <c r="L95" s="99"/>
    </row>
    <row r="96" spans="2:13" s="98" customFormat="1" ht="15.5">
      <c r="G96" s="130"/>
      <c r="H96" s="2"/>
      <c r="I96" s="2"/>
      <c r="J96" s="2"/>
      <c r="K96" s="2"/>
      <c r="L96" s="99"/>
    </row>
    <row r="97" spans="2:12" s="98" customFormat="1" ht="15.5">
      <c r="G97" s="130"/>
      <c r="H97" s="2"/>
      <c r="I97" s="2"/>
      <c r="J97" s="2"/>
      <c r="K97" s="2"/>
      <c r="L97" s="99"/>
    </row>
    <row r="98" spans="2:12" s="98" customFormat="1" ht="15.5">
      <c r="G98" s="130"/>
      <c r="H98" s="2"/>
      <c r="I98" s="2"/>
      <c r="J98" s="2"/>
      <c r="K98" s="2"/>
      <c r="L98" s="99"/>
    </row>
    <row r="99" spans="2:12" s="98" customFormat="1" ht="15.5">
      <c r="G99" s="130"/>
      <c r="H99" s="2"/>
      <c r="I99" s="2"/>
      <c r="J99" s="2"/>
      <c r="K99" s="2"/>
      <c r="L99" s="99"/>
    </row>
    <row r="100" spans="2:12" s="98" customFormat="1" ht="15.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5"/>
  <cols>
    <col min="1" max="1" width="27.90625" bestFit="1" customWidth="1"/>
  </cols>
  <sheetData>
    <row r="3" spans="1:5" ht="16.5">
      <c r="A3" s="129" t="s">
        <v>135</v>
      </c>
      <c r="B3" s="129">
        <v>0.128744</v>
      </c>
    </row>
    <row r="5" spans="1:5">
      <c r="A5" s="131" t="s">
        <v>136</v>
      </c>
    </row>
    <row r="6" spans="1:5">
      <c r="A6" s="132" t="s">
        <v>110</v>
      </c>
      <c r="B6" s="133"/>
      <c r="C6" s="133"/>
      <c r="D6" s="134"/>
      <c r="E6" s="134"/>
    </row>
    <row r="7" spans="1:5">
      <c r="A7" s="134" t="s">
        <v>111</v>
      </c>
      <c r="B7" s="133"/>
      <c r="C7" s="133"/>
      <c r="D7" s="135">
        <f>'GLA Summary Tables'!C$8</f>
        <v>11.878891199999998</v>
      </c>
      <c r="E7" s="135">
        <f t="shared" ref="E7:E12" si="0">D7*0.65</f>
        <v>7.7212792799999992</v>
      </c>
    </row>
    <row r="8" spans="1:5">
      <c r="A8" s="134" t="s">
        <v>98</v>
      </c>
      <c r="B8" s="136">
        <f>'GLA Summary Tables'!C9</f>
        <v>3.8873663999999999</v>
      </c>
      <c r="C8" s="136">
        <f>IF(B8&lt;0,IF('GLA Summary Tables'!C18&lt;0,0,'GLA Summary Tables'!C18)+B8,IF('GLA Summary Tables'!C18&lt;0,0,'GLA Summary Tables'!C18))</f>
        <v>7.9915247999999988</v>
      </c>
      <c r="D8" s="135">
        <f>'GLA Summary Tables'!C$8</f>
        <v>11.878891199999998</v>
      </c>
      <c r="E8" s="135">
        <f t="shared" si="0"/>
        <v>7.7212792799999992</v>
      </c>
    </row>
    <row r="9" spans="1:5">
      <c r="A9" s="134" t="s">
        <v>112</v>
      </c>
      <c r="B9" s="136">
        <f>'GLA Summary Tables'!C10</f>
        <v>3.8873663999999999</v>
      </c>
      <c r="C9" s="136">
        <f>IF(B9&lt;0,IF('GLA Summary Tables'!C19&lt;0,0,'GLA Summary Tables'!C19)+B9,IF('GLA Summary Tables'!C19&lt;0,0,'GLA Summary Tables'!C19))</f>
        <v>0</v>
      </c>
      <c r="D9" s="135">
        <f>'GLA Summary Tables'!C$8</f>
        <v>11.878891199999998</v>
      </c>
      <c r="E9" s="135">
        <f t="shared" si="0"/>
        <v>7.7212792799999992</v>
      </c>
    </row>
    <row r="10" spans="1:5">
      <c r="A10" s="134" t="s">
        <v>113</v>
      </c>
      <c r="B10" s="136">
        <f>'GLA Summary Tables'!C11</f>
        <v>3.9122664</v>
      </c>
      <c r="C10" s="136">
        <f>IF(B10&lt;0,IF('GLA Summary Tables'!C20&lt;0,0,'GLA Summary Tables'!C20)+B10,IF('GLA Summary Tables'!C20&lt;0,0,'GLA Summary Tables'!C20))</f>
        <v>0</v>
      </c>
      <c r="D10" s="135">
        <f>'GLA Summary Tables'!C$8</f>
        <v>11.878891199999998</v>
      </c>
      <c r="E10" s="135">
        <f t="shared" si="0"/>
        <v>7.7212792799999992</v>
      </c>
    </row>
    <row r="11" spans="1:5">
      <c r="A11" s="134" t="s">
        <v>114</v>
      </c>
      <c r="B11" s="136">
        <v>0</v>
      </c>
      <c r="C11" s="136">
        <f>'GLA Summary Tables'!C22</f>
        <v>3.9122664</v>
      </c>
      <c r="D11" s="135">
        <f>'GLA Summary Tables'!C$8</f>
        <v>11.878891199999998</v>
      </c>
      <c r="E11" s="135">
        <f t="shared" si="0"/>
        <v>7.7212792799999992</v>
      </c>
    </row>
    <row r="12" spans="1:5">
      <c r="A12" s="134"/>
      <c r="B12" s="133"/>
      <c r="C12" s="133"/>
      <c r="D12" s="135">
        <f>'GLA Summary Tables'!C$8</f>
        <v>11.878891199999998</v>
      </c>
      <c r="E12" s="135">
        <f t="shared" si="0"/>
        <v>7.7212792799999992</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2025-04-07T08:02:52Z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