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887AA828-B0DF-48A2-8EB0-C944D23DA52B}" xr6:coauthVersionLast="47" xr6:coauthVersionMax="47" xr10:uidLastSave="{00000000-0000-0000-0000-000000000000}"/>
  <bookViews>
    <workbookView xWindow="-108" yWindow="-108" windowWidth="23256" windowHeight="12576" activeTab="3"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N8" i="2"/>
  <c r="Q8" i="2"/>
  <c r="T8" i="2"/>
  <c r="L9" i="2"/>
  <c r="M9" i="2"/>
  <c r="N9" i="2"/>
  <c r="Q9" i="2"/>
  <c r="T9" i="2"/>
  <c r="L10" i="2"/>
  <c r="M10" i="2"/>
  <c r="N10" i="2"/>
  <c r="Q10" i="2"/>
  <c r="T10" i="2"/>
  <c r="L11" i="2"/>
  <c r="M11" i="2"/>
  <c r="N11" i="2"/>
  <c r="Q11" i="2"/>
  <c r="T11" i="2"/>
  <c r="L12" i="2"/>
  <c r="M12" i="2"/>
  <c r="N12" i="2"/>
  <c r="Q12" i="2"/>
  <c r="R12" i="2" s="1"/>
  <c r="T12" i="2"/>
  <c r="L13" i="2"/>
  <c r="M13" i="2"/>
  <c r="N13" i="2"/>
  <c r="O13" i="2" s="1"/>
  <c r="Q13" i="2"/>
  <c r="R13" i="2" s="1"/>
  <c r="T13" i="2"/>
  <c r="L14" i="2"/>
  <c r="M14" i="2"/>
  <c r="N14" i="2"/>
  <c r="O14" i="2" s="1"/>
  <c r="Q14" i="2"/>
  <c r="R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U14" i="2" l="1"/>
  <c r="U13" i="2"/>
  <c r="U12" i="2"/>
  <c r="S12" i="2"/>
  <c r="S14" i="2"/>
  <c r="O12" i="2"/>
  <c r="P12" i="2" s="1"/>
  <c r="P14" i="2"/>
  <c r="O11" i="2"/>
  <c r="P11" i="2" s="1"/>
  <c r="R10" i="2"/>
  <c r="U10" i="2" s="1"/>
  <c r="O8" i="2"/>
  <c r="P8" i="2" s="1"/>
  <c r="R11" i="2"/>
  <c r="U11" i="2" s="1"/>
  <c r="O10" i="2"/>
  <c r="R9" i="2"/>
  <c r="U9" i="2" s="1"/>
  <c r="O9" i="2"/>
  <c r="R8" i="2"/>
  <c r="S15" i="2"/>
  <c r="S13" i="2"/>
  <c r="P13" i="2"/>
  <c r="S10" i="2" l="1"/>
  <c r="P10" i="2"/>
  <c r="S9" i="2"/>
  <c r="S8" i="2"/>
  <c r="S11" i="2"/>
  <c r="P9" i="2"/>
  <c r="U8"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<sst xmlns="http://schemas.openxmlformats.org/spreadsheetml/2006/main" count="428" uniqueCount="271">
  <si>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</si>
  <si>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</si>
  <si>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</si>
  <si>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</si>
  <si>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</si>
  <si>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</si>
  <si>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</si>
  <si>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</si>
  <si>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</si>
  <si>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</si>
  <si>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</si>
  <si>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</si>
  <si>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</si>
  <si>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</si>
  <si>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</si>
  <si>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</si>
  <si>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</si>
  <si>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</si>
  <si>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</si>
  <si>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</si>
  <si>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</si>
  <si>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</si>
  <si>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</si>
  <si>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</si>
  <si>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</si>
  <si>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</si>
  <si>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</si>
  <si>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</si>
  <si>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</si>
  <si>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</si>
  <si>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</si>
  <si>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</si>
  <si>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</si>
  <si>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</si>
  <si>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</si>
  <si>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</si>
  <si>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</si>
  <si>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</si>
  <si>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</si>
  <si>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</si>
  <si>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</si>
  <si>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</si>
  <si>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</si>
  <si>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</si>
  <si>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</si>
  <si>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</si>
  <si>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</si>
  <si>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</si>
  <si>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</si>
  <si>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</si>
  <si>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</si>
  <si>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</si>
  <si>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</si>
  <si>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</si>
  <si>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</si>
  <si>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</si>
  <si>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</si>
  <si>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</si>
  <si>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</si>
  <si>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</si>
  <si>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</si>
  <si>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</si>
  <si>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</si>
  <si>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</si>
  <si>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</si>
  <si>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</si>
  <si>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</si>
  <si>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</si>
  <si>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</si>
  <si>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</si>
  <si>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</si>
  <si>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</si>
  <si>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</si>
  <si>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</si>
  <si>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</si>
  <si>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</si>
  <si>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</si>
  <si>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</si>
  <si>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</si>
  <si>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</si>
  <si>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</si>
  <si>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</si>
  <si>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</si>
  <si>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</si>
  <si>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</si>
  <si>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</si>
  <si>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</si>
  <si>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</si>
  <si>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</si>
  <si>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</si>
  <si>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</si>
  <si>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</si>
  <si>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</si>
  <si>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</si>
  <si>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</si>
  <si>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</si>
  <si>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</si>
  <si>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</si>
  <si>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</si>
  <si>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</si>
  <si>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</si>
  <si>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</si>
  <si>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</si>
  <si>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</si>
  <si>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</si>
  <si>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</si>
  <si>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</si>
  <si>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</si>
  <si>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</si>
  <si>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</si>
  <si>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</si>
  <si>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</si>
  <si>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</si>
  <si>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</si>
  <si>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</si>
  <si>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</si>
  <si>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</si>
  <si>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</si>
  <si>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</si>
  <si>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</si>
  <si>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</si>
  <si>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</si>
  <si>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</si>
  <si>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</si>
  <si>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</si>
  <si>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</si>
  <si>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</si>
  <si>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</si>
  <si>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</si>
  <si>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</si>
  <si>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</si>
  <si>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</si>
  <si>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</si>
  <si>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</si>
  <si>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</si>
  <si>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</si>
  <si>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</si>
  <si>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</si>
  <si>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</si>
  <si>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</si>
  <si>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</si>
  <si>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</si>
  <si>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</si>
  <si>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</si>
  <si>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</si>
  <si>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</si>
  <si>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</si>
  <si>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</si>
  <si>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</si>
  <si>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</si>
  <si>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</si>
  <si>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</si>
  <si>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</si>
  <si>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</si>
  <si>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</si>
  <si>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</si>
  <si>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</si>
  <si>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</si>
  <si>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</si>
  <si>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</si>
  <si>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</si>
  <si>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</si>
  <si>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</si>
  <si>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</si>
  <si>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</si>
  <si>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</si>
  <si>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</si>
  <si>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</si>
  <si>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</si>
  <si>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</si>
  <si>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</si>
  <si>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</si>
  <si>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</si>
  <si>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</si>
  <si>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</si>
  <si>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</si>
  <si>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</si>
  <si>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</si>
  <si>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</si>
  <si>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</si>
  <si>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</si>
  <si>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</si>
  <si>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</si>
  <si>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</si>
  <si>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</si>
  <si>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</si>
  <si>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</si>
  <si>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</si>
  <si>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</si>
  <si>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</si>
  <si>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</si>
  <si>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</si>
  <si>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</si>
  <si>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</si>
  <si>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</si>
  <si>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</si>
  <si>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</si>
  <si>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</si>
  <si>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</si>
  <si>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</si>
  <si>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</si>
  <si>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</si>
  <si>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</si>
  <si>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</si>
  <si>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</si>
  <si>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</si>
  <si>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</si>
  <si>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</si>
  <si>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</si>
  <si>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</si>
  <si>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</si>
  <si>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</si>
  <si>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</si>
  <si>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</si>
  <si>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</si>
  <si>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</si>
  <si>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</si>
  <si>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</si>
  <si>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</si>
  <si>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</si>
  <si>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</si>
  <si>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</si>
  <si>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</si>
  <si>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</si>
  <si>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</si>
  <si>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</si>
  <si>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</si>
  <si>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</si>
  <si>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</si>
  <si>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</si>
  <si>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</si>
  <si>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</si>
  <si>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</si>
  <si>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</si>
  <si>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</si>
  <si>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</si>
  <si>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</si>
  <si>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</si>
  <si>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</si>
  <si>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</si>
  <si>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</si>
  <si>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</si>
  <si>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</si>
  <si>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</si>
  <si>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</si>
  <si>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</si>
  <si>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</si>
  <si>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</si>
  <si>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</si>
  <si>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</si>
  <si>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</si>
  <si>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</si>
  <si>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</si>
  <si>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</si>
  <si>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</si>
  <si>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</si>
  <si>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</si>
  <si>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</si>
  <si>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</si>
  <si>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</si>
  <si>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t>
  </si>
  <si>
    <t>N</t>
  </si>
  <si>
    <t>yes</t>
  </si>
  <si>
    <t>Yes</t>
  </si>
  <si>
    <t>Part L1 - SAP 10.2</t>
  </si>
  <si>
    <t>none</t>
  </si>
  <si>
    <t>air</t>
  </si>
  <si>
    <t>Unit 01</t>
  </si>
  <si>
    <t>Unit 03</t>
  </si>
  <si>
    <t>no</t>
  </si>
  <si>
    <t>Camden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</si>
</sst>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2.2658147868584995</c:v>
                </c:pt>
                <c:pt idx="2">
                  <c:v>2.2658147868584995</c:v>
                </c:pt>
                <c:pt idx="3">
                  <c:v>0.66271687082680009</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1.5955980494554396</c:v>
                </c:pt>
                <c:pt idx="2">
                  <c:v>0</c:v>
                </c:pt>
                <c:pt idx="3">
                  <c:v>1.6030979160316994</c:v>
                </c:pt>
                <c:pt idx="4">
                  <c:v>0.66271687082680009</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3.8614128363139391</c:v>
                </c:pt>
                <c:pt idx="1">
                  <c:v>3.8614128363139391</c:v>
                </c:pt>
                <c:pt idx="2">
                  <c:v>3.8614128363139391</c:v>
                </c:pt>
                <c:pt idx="3">
                  <c:v>3.8614128363139391</c:v>
                </c:pt>
                <c:pt idx="4">
                  <c:v>3.8614128363139391</c:v>
                </c:pt>
                <c:pt idx="5">
                  <c:v>3.8614128363139391</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2.5099183436040606</c:v>
                </c:pt>
                <c:pt idx="1">
                  <c:v>2.5099183436040606</c:v>
                </c:pt>
                <c:pt idx="2">
                  <c:v>2.5099183436040606</c:v>
                </c:pt>
                <c:pt idx="3">
                  <c:v>2.5099183436040606</c:v>
                </c:pt>
                <c:pt idx="4">
                  <c:v>2.5099183436040606</c:v>
                </c:pt>
                <c:pt idx="5">
                  <c:v>2.5099183436040606</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election activeCell="A10" sqref="A10:L13"/>
    </sheetView>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700000000000003" customHeight="1">
      <c r="A4" s="228" t="s">
        <v>246</v>
      </c>
      <c r="B4" s="228"/>
      <c r="C4" s="228"/>
      <c r="D4" s="228"/>
      <c r="E4" s="228"/>
      <c r="F4" s="228"/>
      <c r="G4" s="228"/>
      <c r="H4" s="228"/>
      <c r="I4" s="228"/>
      <c r="J4" s="228"/>
      <c r="K4" s="228"/>
      <c r="L4" s="228"/>
    </row>
    <row r="5" spans="1:16384" ht="41.7" customHeight="1">
      <c r="A5" s="228" t="s">
        <v>247</v>
      </c>
      <c r="B5" s="228"/>
      <c r="C5" s="228"/>
      <c r="D5" s="228"/>
      <c r="E5" s="228"/>
      <c r="F5" s="228"/>
      <c r="G5" s="228"/>
      <c r="H5" s="228"/>
      <c r="I5" s="228"/>
      <c r="J5" s="228"/>
      <c r="K5" s="228"/>
      <c r="L5" s="228"/>
    </row>
    <row r="6" spans="1:16384" ht="32.700000000000003"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60" zoomScaleNormal="100" workbookViewId="0">
      <selection activeCell="D48" sqref="D48"/>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55" t="s">
        <v>160</v>
      </c>
      <c r="B2" s="255"/>
      <c r="C2" s="201" t="s">
        <v>262</v>
      </c>
    </row>
    <row r="3" spans="1:6" ht="37.5" customHeight="1">
      <c r="A3" s="255" t="s">
        <v>161</v>
      </c>
      <c r="B3" s="255"/>
      <c r="C3" s="201" t="s">
        <v>262</v>
      </c>
    </row>
    <row r="4" spans="1:6" ht="37.5" customHeight="1">
      <c r="A4" s="255" t="s">
        <v>162</v>
      </c>
      <c r="B4" s="255"/>
      <c r="C4" s="201" t="s">
        <v>262</v>
      </c>
    </row>
    <row r="5" spans="1:6" ht="61.5" customHeight="1">
      <c r="A5" s="255" t="s">
        <v>163</v>
      </c>
      <c r="B5" s="255"/>
      <c r="C5" s="201" t="s">
        <v>269</v>
      </c>
      <c r="D5" s="203"/>
    </row>
    <row r="6" spans="1:6" ht="12" thickBot="1"/>
    <row r="7" spans="1:6" ht="24.6" thickTop="1">
      <c r="A7" s="204" t="s">
        <v>164</v>
      </c>
      <c r="B7" s="205"/>
      <c r="C7" s="205" t="s">
        <v>165</v>
      </c>
      <c r="D7" s="205" t="s">
        <v>166</v>
      </c>
      <c r="E7" s="206" t="s">
        <v>167</v>
      </c>
    </row>
    <row r="8" spans="1:6" ht="22.8">
      <c r="A8" s="249" t="s">
        <v>168</v>
      </c>
      <c r="B8" s="207" t="s">
        <v>0</v>
      </c>
      <c r="C8" s="207" t="s">
        <v>1</v>
      </c>
      <c r="D8" s="208"/>
      <c r="E8" s="208"/>
    </row>
    <row r="9" spans="1:6" ht="22.8">
      <c r="A9" s="249"/>
      <c r="B9" s="207" t="s">
        <v>2</v>
      </c>
      <c r="C9" s="207" t="s">
        <v>3</v>
      </c>
      <c r="D9" s="208" t="s">
        <v>270</v>
      </c>
      <c r="E9" s="208"/>
    </row>
    <row r="10" spans="1:6" ht="45.6">
      <c r="A10" s="249"/>
      <c r="B10" s="207" t="s">
        <v>4</v>
      </c>
      <c r="C10" s="207" t="s">
        <v>169</v>
      </c>
      <c r="D10" s="224">
        <v>95</v>
      </c>
      <c r="E10" s="208"/>
    </row>
    <row r="11" spans="1:6" ht="22.8">
      <c r="A11" s="249"/>
      <c r="B11" s="207" t="s">
        <v>170</v>
      </c>
      <c r="C11" s="207"/>
      <c r="D11" s="208" t="s">
        <v>260</v>
      </c>
      <c r="E11" s="208"/>
      <c r="F11" s="209"/>
    </row>
    <row r="12" spans="1:6" ht="25.5" customHeight="1">
      <c r="A12" s="249"/>
      <c r="B12" s="207" t="s">
        <v>171</v>
      </c>
      <c r="C12" s="207"/>
      <c r="D12" s="225">
        <v>3</v>
      </c>
      <c r="E12" s="208"/>
    </row>
    <row r="13" spans="1:6" ht="25.5" customHeight="1">
      <c r="A13" s="249"/>
      <c r="B13" s="207" t="s">
        <v>172</v>
      </c>
      <c r="C13" s="207"/>
      <c r="D13" s="224"/>
      <c r="E13" s="208"/>
    </row>
    <row r="14" spans="1:6" ht="22.8">
      <c r="A14" s="246" t="s">
        <v>173</v>
      </c>
      <c r="B14" s="207" t="s">
        <v>174</v>
      </c>
      <c r="C14" s="207"/>
      <c r="D14" s="208" t="s">
        <v>261</v>
      </c>
      <c r="E14" s="208"/>
    </row>
    <row r="15" spans="1:6" ht="22.8">
      <c r="A15" s="247"/>
      <c r="B15" s="207" t="s">
        <v>175</v>
      </c>
      <c r="C15" s="207"/>
      <c r="D15" s="208" t="s">
        <v>261</v>
      </c>
      <c r="E15" s="208"/>
    </row>
    <row r="16" spans="1:6" ht="22.8">
      <c r="A16" s="247"/>
      <c r="B16" s="207" t="s">
        <v>176</v>
      </c>
      <c r="C16" s="207"/>
      <c r="D16" s="208"/>
      <c r="E16" s="208"/>
    </row>
    <row r="17" spans="1:6" ht="22.8">
      <c r="A17" s="247"/>
      <c r="B17" s="207" t="s">
        <v>177</v>
      </c>
      <c r="C17" s="207"/>
      <c r="D17" s="208"/>
      <c r="E17" s="208"/>
    </row>
    <row r="18" spans="1:6" ht="14.7" customHeight="1">
      <c r="A18" s="247"/>
      <c r="B18" s="207" t="s">
        <v>178</v>
      </c>
      <c r="C18" s="207"/>
      <c r="D18" s="224"/>
      <c r="E18" s="208"/>
    </row>
    <row r="19" spans="1:6" ht="14.7" customHeight="1">
      <c r="A19" s="247"/>
      <c r="B19" s="207" t="s">
        <v>179</v>
      </c>
      <c r="C19" s="207"/>
      <c r="D19" s="224"/>
      <c r="E19" s="208"/>
    </row>
    <row r="20" spans="1:6" ht="14.7" customHeight="1">
      <c r="A20" s="248"/>
      <c r="B20" s="207" t="s">
        <v>180</v>
      </c>
      <c r="C20" s="207"/>
      <c r="D20" s="208"/>
      <c r="E20" s="208"/>
    </row>
    <row r="21" spans="1:6" ht="14.7" customHeight="1">
      <c r="A21" s="246" t="s">
        <v>181</v>
      </c>
      <c r="B21" s="210" t="s">
        <v>182</v>
      </c>
      <c r="C21" s="210"/>
      <c r="D21" s="208" t="s">
        <v>260</v>
      </c>
      <c r="E21" s="208"/>
    </row>
    <row r="22" spans="1:6" ht="22.8">
      <c r="A22" s="247"/>
      <c r="B22" s="210" t="s">
        <v>183</v>
      </c>
      <c r="C22" s="210"/>
      <c r="D22" s="208" t="s">
        <v>260</v>
      </c>
      <c r="E22" s="208"/>
    </row>
    <row r="23" spans="1:6" ht="14.7" customHeight="1">
      <c r="A23" s="247"/>
      <c r="B23" s="210" t="s">
        <v>184</v>
      </c>
      <c r="C23" s="210"/>
      <c r="D23" s="208" t="s">
        <v>260</v>
      </c>
      <c r="E23" s="208"/>
      <c r="F23" s="211"/>
    </row>
    <row r="24" spans="1:6" ht="14.7" customHeight="1">
      <c r="A24" s="248"/>
      <c r="B24" s="210" t="s">
        <v>185</v>
      </c>
      <c r="C24" s="210"/>
      <c r="D24" s="208" t="s">
        <v>260</v>
      </c>
      <c r="E24" s="208"/>
      <c r="F24" s="211"/>
    </row>
    <row r="25" spans="1:6" ht="22.8">
      <c r="A25" s="246" t="s">
        <v>186</v>
      </c>
      <c r="B25" s="207" t="s">
        <v>187</v>
      </c>
      <c r="C25" s="207"/>
      <c r="D25" s="208" t="s">
        <v>260</v>
      </c>
      <c r="E25" s="208"/>
    </row>
    <row r="26" spans="1:6">
      <c r="A26" s="247"/>
      <c r="B26" s="207" t="s">
        <v>188</v>
      </c>
      <c r="C26" s="207"/>
      <c r="D26" s="208"/>
      <c r="E26" s="208"/>
    </row>
    <row r="27" spans="1:6">
      <c r="A27" s="247"/>
      <c r="B27" s="207" t="s">
        <v>189</v>
      </c>
      <c r="C27" s="207"/>
      <c r="D27" s="208"/>
      <c r="E27" s="208"/>
    </row>
    <row r="28" spans="1:6" ht="15">
      <c r="A28" s="247"/>
      <c r="B28" s="207" t="s">
        <v>190</v>
      </c>
      <c r="C28" s="207"/>
      <c r="D28" s="224"/>
      <c r="E28" s="208"/>
    </row>
    <row r="29" spans="1:6" ht="34.200000000000003">
      <c r="A29" s="248"/>
      <c r="B29" s="207" t="s">
        <v>191</v>
      </c>
      <c r="C29" s="207" t="s">
        <v>192</v>
      </c>
      <c r="D29" s="208"/>
      <c r="E29" s="208"/>
    </row>
    <row r="30" spans="1:6" ht="22.8">
      <c r="A30" s="246" t="s">
        <v>193</v>
      </c>
      <c r="B30" s="207" t="s">
        <v>194</v>
      </c>
      <c r="C30" s="207" t="s">
        <v>195</v>
      </c>
      <c r="D30" s="208" t="s">
        <v>260</v>
      </c>
      <c r="E30" s="208"/>
      <c r="F30" s="212"/>
    </row>
    <row r="31" spans="1:6" ht="45.6">
      <c r="A31" s="247"/>
      <c r="B31" s="207" t="s">
        <v>196</v>
      </c>
      <c r="C31" s="207" t="s">
        <v>257</v>
      </c>
      <c r="D31" s="208"/>
      <c r="E31" s="208"/>
    </row>
    <row r="32" spans="1:6">
      <c r="A32" s="247"/>
      <c r="B32" s="207" t="s">
        <v>197</v>
      </c>
      <c r="C32" s="207"/>
      <c r="D32" s="208"/>
      <c r="E32" s="208"/>
    </row>
    <row r="33" spans="1:5" ht="12">
      <c r="A33" s="247"/>
      <c r="B33" s="213" t="s">
        <v>198</v>
      </c>
      <c r="C33" s="207"/>
      <c r="D33" s="224"/>
      <c r="E33" s="208"/>
    </row>
    <row r="34" spans="1:5" ht="12">
      <c r="A34" s="247"/>
      <c r="B34" s="213" t="s">
        <v>199</v>
      </c>
      <c r="C34" s="207"/>
      <c r="D34" s="224"/>
      <c r="E34" s="208"/>
    </row>
    <row r="35" spans="1:5">
      <c r="A35" s="248"/>
      <c r="B35" s="207" t="s">
        <v>200</v>
      </c>
      <c r="C35" s="207" t="s">
        <v>201</v>
      </c>
      <c r="D35" s="224"/>
      <c r="E35" s="208"/>
    </row>
    <row r="36" spans="1:5">
      <c r="A36" s="246" t="s">
        <v>202</v>
      </c>
      <c r="B36" s="207" t="s">
        <v>203</v>
      </c>
      <c r="C36" s="207"/>
      <c r="D36" s="208" t="s">
        <v>260</v>
      </c>
      <c r="E36" s="208"/>
    </row>
    <row r="37" spans="1:5">
      <c r="A37" s="247"/>
      <c r="B37" s="207" t="s">
        <v>204</v>
      </c>
      <c r="C37" s="207"/>
      <c r="D37" s="226" t="s">
        <v>266</v>
      </c>
      <c r="E37" s="208"/>
    </row>
    <row r="38" spans="1:5">
      <c r="A38" s="247"/>
      <c r="B38" s="207" t="s">
        <v>205</v>
      </c>
      <c r="C38" s="207"/>
      <c r="D38" s="224">
        <v>20</v>
      </c>
      <c r="E38" s="208"/>
    </row>
    <row r="39" spans="1:5">
      <c r="A39" s="247"/>
      <c r="B39" s="207" t="s">
        <v>206</v>
      </c>
      <c r="C39" s="207"/>
      <c r="D39" s="224">
        <v>320</v>
      </c>
      <c r="E39" s="208"/>
    </row>
    <row r="40" spans="1:5" ht="34.200000000000003">
      <c r="A40" s="247"/>
      <c r="B40" s="207" t="s">
        <v>207</v>
      </c>
      <c r="C40" s="207" t="s">
        <v>208</v>
      </c>
      <c r="D40" s="208"/>
      <c r="E40" s="208"/>
    </row>
    <row r="41" spans="1:5" ht="22.8">
      <c r="A41" s="247"/>
      <c r="B41" s="207" t="s">
        <v>209</v>
      </c>
      <c r="C41" s="207"/>
      <c r="D41" s="224">
        <v>100</v>
      </c>
      <c r="E41" s="208"/>
    </row>
    <row r="42" spans="1:5" ht="45.6">
      <c r="A42" s="247"/>
      <c r="B42" s="207" t="s">
        <v>210</v>
      </c>
      <c r="C42" s="213" t="s">
        <v>211</v>
      </c>
      <c r="D42" s="208" t="s">
        <v>261</v>
      </c>
      <c r="E42" s="208"/>
    </row>
    <row r="43" spans="1:5">
      <c r="A43" s="247"/>
      <c r="B43" s="207" t="s">
        <v>212</v>
      </c>
      <c r="C43" s="207"/>
      <c r="D43" s="224"/>
      <c r="E43" s="208"/>
    </row>
    <row r="44" spans="1:5">
      <c r="A44" s="247"/>
      <c r="B44" s="207" t="s">
        <v>213</v>
      </c>
      <c r="C44" s="207"/>
      <c r="D44" s="224"/>
      <c r="E44" s="208"/>
    </row>
    <row r="45" spans="1:5" ht="45.6">
      <c r="A45" s="248"/>
      <c r="B45" s="207" t="s">
        <v>214</v>
      </c>
      <c r="C45" s="207" t="s">
        <v>215</v>
      </c>
      <c r="D45" s="208"/>
      <c r="E45" s="208"/>
    </row>
    <row r="46" spans="1:5">
      <c r="A46" s="249" t="s">
        <v>216</v>
      </c>
      <c r="B46" s="207" t="s">
        <v>217</v>
      </c>
      <c r="C46" s="207"/>
      <c r="D46" s="208" t="s">
        <v>260</v>
      </c>
      <c r="E46" s="208"/>
    </row>
    <row r="47" spans="1:5" ht="34.200000000000003">
      <c r="A47" s="249"/>
      <c r="B47" s="207" t="s">
        <v>218</v>
      </c>
      <c r="C47" s="207"/>
      <c r="D47" s="208" t="s">
        <v>260</v>
      </c>
      <c r="E47" s="208"/>
    </row>
    <row r="48" spans="1:5">
      <c r="A48" s="249"/>
      <c r="B48" s="207" t="s">
        <v>219</v>
      </c>
      <c r="C48" s="207"/>
      <c r="D48" s="224">
        <v>2500</v>
      </c>
      <c r="E48" s="208"/>
    </row>
    <row r="49" spans="1:5">
      <c r="A49" s="249"/>
      <c r="B49" s="207" t="s">
        <v>220</v>
      </c>
      <c r="C49" s="207"/>
      <c r="D49" s="224">
        <v>3.08</v>
      </c>
      <c r="E49" s="208"/>
    </row>
    <row r="50" spans="1:5" ht="13.2">
      <c r="A50" s="249"/>
      <c r="B50" s="207" t="s">
        <v>221</v>
      </c>
      <c r="C50" s="207"/>
      <c r="D50" s="224">
        <v>15</v>
      </c>
      <c r="E50" s="208"/>
    </row>
    <row r="51" spans="1:5">
      <c r="A51" s="249"/>
      <c r="B51" s="207" t="s">
        <v>222</v>
      </c>
      <c r="C51" s="207"/>
      <c r="D51" s="208" t="s">
        <v>261</v>
      </c>
      <c r="E51" s="208"/>
    </row>
    <row r="52" spans="1:5" ht="13.2">
      <c r="A52" s="249"/>
      <c r="B52" s="207" t="s">
        <v>223</v>
      </c>
      <c r="C52" s="207"/>
      <c r="D52" s="224"/>
      <c r="E52" s="208"/>
    </row>
    <row r="53" spans="1:5" ht="22.8">
      <c r="A53" s="246" t="s">
        <v>224</v>
      </c>
      <c r="B53" s="207" t="s">
        <v>225</v>
      </c>
      <c r="C53" s="207" t="s">
        <v>226</v>
      </c>
      <c r="D53" s="208"/>
      <c r="E53" s="208"/>
    </row>
    <row r="54" spans="1:5" ht="22.8">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57">
      <c r="A60" s="246" t="s">
        <v>235</v>
      </c>
      <c r="B60" s="207" t="s">
        <v>236</v>
      </c>
      <c r="C60" s="207" t="s">
        <v>237</v>
      </c>
      <c r="D60" s="208" t="s">
        <v>261</v>
      </c>
      <c r="E60" s="208"/>
    </row>
    <row r="61" spans="1:5" ht="20.25" customHeight="1">
      <c r="A61" s="247"/>
      <c r="B61" s="207" t="s">
        <v>238</v>
      </c>
      <c r="C61" s="207"/>
      <c r="D61" s="208"/>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ht="12">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ht="12">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ht="12">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3" zoomScale="85" zoomScaleNormal="85" workbookViewId="0">
      <selection activeCell="D27" sqref="D27"/>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267</v>
      </c>
      <c r="B7" s="110">
        <v>86.57</v>
      </c>
      <c r="C7" s="110">
        <v>1.3048692630419123</v>
      </c>
      <c r="D7" s="110">
        <v>112.96253210153834</v>
      </c>
      <c r="E7" s="164">
        <v>13.75</v>
      </c>
      <c r="F7" s="165">
        <v>-111.05</v>
      </c>
      <c r="G7" s="166">
        <v>9.85</v>
      </c>
      <c r="H7" s="166">
        <v>9.85</v>
      </c>
      <c r="I7" s="166">
        <v>2.0699999999999998</v>
      </c>
      <c r="J7" s="167">
        <v>40.479999999999997</v>
      </c>
      <c r="K7" s="167">
        <v>33.04</v>
      </c>
      <c r="L7" s="107">
        <f t="shared" ref="L7" si="0">IF($E7=0,"",D7*E7)</f>
        <v>1553.2348163961522</v>
      </c>
      <c r="M7" s="107">
        <f t="shared" ref="M7:M57" si="1">IF($F7=0,"",($F7/$B7)*$D7)</f>
        <v>-144.90573166080435</v>
      </c>
      <c r="N7" s="107">
        <f t="shared" ref="N7:N57" si="2">IF($G7=0,"",$D7*$G7)</f>
        <v>1112.6809412001526</v>
      </c>
      <c r="O7" s="108">
        <f>IF($G7=0,"",$N7+M7)</f>
        <v>967.77520953934823</v>
      </c>
      <c r="P7" s="108">
        <f>IF($G7=0,"",$L7-O7)</f>
        <v>585.45960685680393</v>
      </c>
      <c r="Q7" s="108">
        <f t="shared" ref="Q7:Q57" si="3">IF($H7=0,"",$D7*$H7)</f>
        <v>1112.6809412001526</v>
      </c>
      <c r="R7" s="108">
        <f>IF($H7=0,"",$Q7+$M7)</f>
        <v>967.77520953934823</v>
      </c>
      <c r="S7" s="108">
        <f>IF($H7=0,"",$O7-$R7)</f>
        <v>0</v>
      </c>
      <c r="T7" s="108">
        <f>IF($I7=0,"",$D7*$I7)</f>
        <v>233.83244145018435</v>
      </c>
      <c r="U7" s="175">
        <f>IF($H7=0,"",$R7-$T7)</f>
        <v>733.94276808916391</v>
      </c>
    </row>
    <row r="8" spans="1:21" ht="13.5" customHeight="1">
      <c r="A8" s="109" t="s">
        <v>268</v>
      </c>
      <c r="B8" s="110">
        <v>149.4</v>
      </c>
      <c r="C8" s="110">
        <v>1.3048692630419123</v>
      </c>
      <c r="D8" s="110">
        <v>194.9474678984617</v>
      </c>
      <c r="E8" s="164">
        <v>11.84</v>
      </c>
      <c r="F8" s="168">
        <v>-191.47</v>
      </c>
      <c r="G8" s="166">
        <v>7.94</v>
      </c>
      <c r="H8" s="166">
        <v>7.94</v>
      </c>
      <c r="I8" s="166">
        <v>2.2000000000000002</v>
      </c>
      <c r="J8" s="167">
        <v>44.24</v>
      </c>
      <c r="K8" s="167">
        <v>33.119999999999997</v>
      </c>
      <c r="L8" s="107">
        <f t="shared" ref="L8:L57" si="4">IF($E8=0,"",D8*E8)</f>
        <v>2308.1780199177865</v>
      </c>
      <c r="M8" s="107">
        <f t="shared" si="1"/>
        <v>-249.84331779463494</v>
      </c>
      <c r="N8" s="107">
        <f t="shared" si="2"/>
        <v>1547.8828951137859</v>
      </c>
      <c r="O8" s="108">
        <f t="shared" ref="O8:O57" si="5">IF($G8=0,"",$N8+M8)</f>
        <v>1298.039577319151</v>
      </c>
      <c r="P8" s="108">
        <f t="shared" ref="P8:P57" si="6">IF($G8=0,"",$L8-O8)</f>
        <v>1010.1384425986355</v>
      </c>
      <c r="Q8" s="108">
        <f t="shared" si="3"/>
        <v>1547.8828951137859</v>
      </c>
      <c r="R8" s="108">
        <f t="shared" ref="R8:R57" si="7">IF($H8=0,"",$Q8+$M8)</f>
        <v>1298.039577319151</v>
      </c>
      <c r="S8" s="108">
        <f t="shared" ref="S8:S57" si="8">IF($H8=0,"",$O8-$R8)</f>
        <v>0</v>
      </c>
      <c r="T8" s="108">
        <f t="shared" ref="T8:T57" si="9">IF($I8=0,"",$D8*$I8)</f>
        <v>428.88442937661574</v>
      </c>
      <c r="U8" s="175">
        <f t="shared" ref="U8:U57" si="10">IF($H8=0,"",$R8-$T8)</f>
        <v>869.15514794253522</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2.6097385260838246</v>
      </c>
      <c r="D58" s="7">
        <f>SUM(D7:D57)</f>
        <v>307.91000000000003</v>
      </c>
      <c r="E58" s="128">
        <f t="shared" ref="E58" si="11">IFERROR(SUMPRODUCT($D$7:$D$57,E7:E57)/$D$58,0)</f>
        <v>12.540719159215156</v>
      </c>
      <c r="F58" s="127">
        <f t="shared" ref="F58" si="12">IFERROR(SUMPRODUCT($D$7:$D$57,F7:F57)/$D$58,0)</f>
        <v>-161.96642157901428</v>
      </c>
      <c r="G58" s="127">
        <f t="shared" ref="G58:I58" si="13">IFERROR(SUMPRODUCT($D$7:$D$57,G7:G57)/$D$58,0)</f>
        <v>8.6407191592151555</v>
      </c>
      <c r="H58" s="127">
        <f t="shared" si="13"/>
        <v>8.6407191592151555</v>
      </c>
      <c r="I58" s="127">
        <f t="shared" si="13"/>
        <v>2.1523070729330001</v>
      </c>
      <c r="J58" s="127">
        <f>IFERROR(SUMPRODUCT($D$7:$D$57,J7:J57)/$D$58,0)</f>
        <v>42.860573801754462</v>
      </c>
      <c r="K58" s="127">
        <f>IFERROR(SUMPRODUCT($D$7:$D$57,K7:K57)/$D$58,0)</f>
        <v>33.09065050642031</v>
      </c>
      <c r="L58" s="102">
        <f>SUM(L7:L57)</f>
        <v>3861.4128363139389</v>
      </c>
      <c r="M58" s="102">
        <f>SUM(M7:M57)</f>
        <v>-394.74904945543926</v>
      </c>
      <c r="N58" s="102">
        <f t="shared" ref="N58:T58" si="14">SUM(N7:N57)</f>
        <v>2660.5638363139387</v>
      </c>
      <c r="O58" s="102">
        <f t="shared" si="14"/>
        <v>2265.8147868584992</v>
      </c>
      <c r="P58" s="102">
        <f t="shared" si="14"/>
        <v>1595.5980494554394</v>
      </c>
      <c r="Q58" s="102">
        <f t="shared" si="14"/>
        <v>2660.5638363139387</v>
      </c>
      <c r="R58" s="102">
        <f t="shared" si="14"/>
        <v>2265.8147868584992</v>
      </c>
      <c r="S58" s="102">
        <f t="shared" si="14"/>
        <v>0</v>
      </c>
      <c r="T58" s="102">
        <f t="shared" si="14"/>
        <v>662.71687082680012</v>
      </c>
      <c r="U58" s="176">
        <f t="shared" ref="U58" si="15">SUM(U7:U57)</f>
        <v>1603.0979160316992</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307.91000000000003</v>
      </c>
      <c r="E96" s="155" t="s">
        <v>22</v>
      </c>
      <c r="F96" s="155" t="s">
        <v>22</v>
      </c>
      <c r="G96" s="155" t="s">
        <v>22</v>
      </c>
      <c r="H96" s="155" t="s">
        <v>22</v>
      </c>
      <c r="I96" s="155" t="s">
        <v>22</v>
      </c>
      <c r="J96" s="122"/>
      <c r="K96" s="123"/>
      <c r="L96" s="156">
        <f>L58+L94</f>
        <v>3861.4128363139389</v>
      </c>
      <c r="M96" s="156">
        <f t="shared" ref="M96:T96" si="29">M58+M94</f>
        <v>-394.74904945543926</v>
      </c>
      <c r="N96" s="156">
        <f t="shared" si="29"/>
        <v>2660.5638363139387</v>
      </c>
      <c r="O96" s="156">
        <f t="shared" si="29"/>
        <v>2265.8147868584992</v>
      </c>
      <c r="P96" s="156">
        <f t="shared" si="29"/>
        <v>1595.5980494554394</v>
      </c>
      <c r="Q96" s="156">
        <f t="shared" si="29"/>
        <v>2660.5638363139387</v>
      </c>
      <c r="R96" s="156">
        <f t="shared" si="29"/>
        <v>2265.8147868584992</v>
      </c>
      <c r="S96" s="156">
        <f t="shared" ref="S96" si="30">S58+S94</f>
        <v>0</v>
      </c>
      <c r="T96" s="156">
        <f t="shared" si="29"/>
        <v>662.71687082680012</v>
      </c>
      <c r="U96" s="181">
        <f>U58+U94</f>
        <v>1603.0979160316992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xWindow="548" yWindow="481"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abSelected="1" zoomScale="70" zoomScaleNormal="70" workbookViewId="0">
      <selection activeCell="D7" sqref="D7"/>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7.399999999999999">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2"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7"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v>308</v>
      </c>
      <c r="C6" s="75">
        <v>4234</v>
      </c>
      <c r="D6" s="75">
        <v>11342</v>
      </c>
      <c r="E6" s="75"/>
      <c r="F6" s="75"/>
      <c r="G6" s="75"/>
      <c r="H6" s="75"/>
      <c r="I6" s="75"/>
      <c r="J6" s="75"/>
      <c r="K6" s="75"/>
      <c r="L6" s="76" t="s">
        <v>263</v>
      </c>
      <c r="M6" s="76" t="s">
        <v>263</v>
      </c>
      <c r="N6" s="293">
        <f>IF('EUI &amp; space heating demand'!B6="","",SUM('EUI &amp; space heating demand'!$D$6:$I$7)/SUM('EUI &amp; space heating demand'!$B$6:$B$7))</f>
        <v>36.824675324675326</v>
      </c>
      <c r="O6" s="293">
        <f>IF('EUI &amp; space heating demand'!B6="","",'EUI &amp; space heating demand'!C6/'EUI &amp; space heating demand'!B6)</f>
        <v>13.746753246753247</v>
      </c>
      <c r="P6" s="293">
        <f>IF('EUI &amp; space heating demand'!B6="","",Tables!B29)</f>
        <v>35</v>
      </c>
      <c r="Q6" s="293">
        <f>IF('EUI &amp; space heating demand'!B6="","",Tables!C29)</f>
        <v>15</v>
      </c>
      <c r="R6" s="77" t="s">
        <v>264</v>
      </c>
      <c r="S6" s="77" t="s">
        <v>265</v>
      </c>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308</v>
      </c>
      <c r="C8" s="63">
        <f>SUM(C6:C7)</f>
        <v>4234</v>
      </c>
      <c r="D8" s="63">
        <f t="shared" ref="D8:K8" si="0">SUM(D6:D7)</f>
        <v>11342</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7" zoomScale="68" zoomScaleNormal="68" workbookViewId="0">
      <selection activeCell="C18" sqref="C18:D21"/>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3.8614128363139391</v>
      </c>
      <c r="D8" s="66">
        <v>0.65</v>
      </c>
      <c r="E8" s="54"/>
      <c r="F8" s="26"/>
      <c r="G8" s="54"/>
      <c r="H8" s="24" t="s">
        <v>69</v>
      </c>
      <c r="I8" s="25">
        <f>'Part L Outputs'!L94/1000</f>
        <v>0</v>
      </c>
      <c r="J8" s="66"/>
      <c r="K8" s="81"/>
      <c r="L8" s="81"/>
      <c r="M8" s="90"/>
    </row>
    <row r="9" spans="1:13" s="27" customFormat="1" ht="45" customHeight="1">
      <c r="B9" s="24" t="s">
        <v>70</v>
      </c>
      <c r="C9" s="25">
        <f>'Part L Outputs'!O58/1000</f>
        <v>2.2658147868584995</v>
      </c>
      <c r="D9" s="66">
        <v>0.65</v>
      </c>
      <c r="E9" s="54"/>
      <c r="F9" s="26"/>
      <c r="G9" s="54"/>
      <c r="H9" s="24" t="s">
        <v>70</v>
      </c>
      <c r="I9" s="25">
        <f>'Part L Outputs'!O94/1000</f>
        <v>0</v>
      </c>
      <c r="J9" s="66"/>
      <c r="K9" s="81"/>
      <c r="L9" s="81"/>
      <c r="M9" s="90"/>
    </row>
    <row r="10" spans="1:13" s="27" customFormat="1" ht="45" customHeight="1">
      <c r="B10" s="24" t="s">
        <v>71</v>
      </c>
      <c r="C10" s="25">
        <f>'Part L Outputs'!R58/1000</f>
        <v>2.2658147868584995</v>
      </c>
      <c r="D10" s="66">
        <v>0.65</v>
      </c>
      <c r="E10" s="54"/>
      <c r="F10" s="26"/>
      <c r="G10" s="54"/>
      <c r="H10" s="24" t="s">
        <v>71</v>
      </c>
      <c r="I10" s="25">
        <f>'Part L Outputs'!R94/1000</f>
        <v>0</v>
      </c>
      <c r="J10" s="66"/>
      <c r="K10" s="81"/>
      <c r="L10" s="81"/>
      <c r="M10" s="90"/>
    </row>
    <row r="11" spans="1:13" s="27" customFormat="1" ht="45" customHeight="1">
      <c r="B11" s="24" t="s">
        <v>72</v>
      </c>
      <c r="C11" s="25">
        <f>'Part L Outputs'!T58/1000</f>
        <v>0.66271687082680009</v>
      </c>
      <c r="D11" s="66">
        <v>0.65</v>
      </c>
      <c r="E11" s="185"/>
      <c r="F11" s="26"/>
      <c r="G11" s="54"/>
      <c r="H11" s="24" t="s">
        <v>72</v>
      </c>
      <c r="I11" s="25">
        <f>'Part L Outputs'!T94/1000</f>
        <v>0</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1.5955980494554396</v>
      </c>
      <c r="D18" s="31">
        <f>IFERROR(C18/C8,0)</f>
        <v>0.41321612505400468</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1.6030979160316994</v>
      </c>
      <c r="D20" s="31">
        <f>IFERROR(C20/C8,0)</f>
        <v>0.41515838476416278</v>
      </c>
      <c r="E20" s="28"/>
      <c r="F20" s="29"/>
      <c r="G20" s="28"/>
      <c r="H20" s="24" t="s">
        <v>81</v>
      </c>
      <c r="I20" s="25">
        <f>I10-I11</f>
        <v>0</v>
      </c>
      <c r="J20" s="31">
        <f>IFERROR(I20/I8,0)</f>
        <v>0</v>
      </c>
      <c r="K20" s="28"/>
      <c r="L20" s="28"/>
      <c r="M20" s="91"/>
    </row>
    <row r="21" spans="2:13" s="30" customFormat="1" ht="45" customHeight="1">
      <c r="B21" s="32" t="s">
        <v>82</v>
      </c>
      <c r="C21" s="33">
        <f>C8-C11</f>
        <v>3.198695965487139</v>
      </c>
      <c r="D21" s="34">
        <f>IFERROR(C21/C8,0)</f>
        <v>0.82837450981816751</v>
      </c>
      <c r="E21" s="28"/>
      <c r="F21" s="29"/>
      <c r="G21" s="28"/>
      <c r="H21" s="32" t="s">
        <v>83</v>
      </c>
      <c r="I21" s="33">
        <f>I8-I11</f>
        <v>0</v>
      </c>
      <c r="J21" s="34">
        <f>IFERROR(I21/I8,0)</f>
        <v>0</v>
      </c>
      <c r="K21" s="92"/>
      <c r="L21" s="28"/>
      <c r="M21" s="91"/>
    </row>
    <row r="22" spans="2:13" s="30" customFormat="1" ht="45" customHeight="1">
      <c r="B22" s="24" t="s">
        <v>84</v>
      </c>
      <c r="C22" s="25">
        <f>(C8-C21)</f>
        <v>0.66271687082680009</v>
      </c>
      <c r="D22" s="35" t="s">
        <v>22</v>
      </c>
      <c r="E22" s="28"/>
      <c r="F22" s="29"/>
      <c r="G22" s="28"/>
      <c r="H22" s="24" t="s">
        <v>84</v>
      </c>
      <c r="I22" s="25">
        <f>(I8-I21)</f>
        <v>0</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19.881506124804002</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1888.7430818563803</v>
      </c>
      <c r="D25" s="35"/>
      <c r="E25" s="28"/>
      <c r="F25" s="29"/>
      <c r="G25" s="28"/>
      <c r="H25" s="32" t="s">
        <v>87</v>
      </c>
      <c r="I25" s="36">
        <f>IFERROR(IF('Development Information'!$D$10=0,I22*95*30,I22*'Development Information'!$D$10*30),"")</f>
        <v>0</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3.8614128363139391</v>
      </c>
      <c r="D61" s="41"/>
      <c r="E61" s="42"/>
      <c r="F61" s="56">
        <f>$C$61</f>
        <v>3.8614128363139391</v>
      </c>
      <c r="G61" s="56"/>
      <c r="H61" s="48" t="s">
        <v>97</v>
      </c>
      <c r="I61" s="49">
        <f>IFERROR('Part L Outputs'!J58,"")</f>
        <v>42.860573801754462</v>
      </c>
      <c r="J61" s="49">
        <f>IFERROR('Part L Outputs'!K58,"")</f>
        <v>33.09065050642031</v>
      </c>
      <c r="K61" s="44">
        <f>IFERROR(1-J61/I61,"")</f>
        <v>0.22794662853846881</v>
      </c>
      <c r="L61" s="55"/>
      <c r="M61" s="91"/>
    </row>
    <row r="62" spans="1:13" s="30" customFormat="1" ht="40.200000000000003" customHeight="1">
      <c r="B62" s="43" t="s">
        <v>98</v>
      </c>
      <c r="C62" s="40">
        <f>'Part L Outputs'!O96/1000</f>
        <v>2.2658147868584995</v>
      </c>
      <c r="D62" s="40">
        <f>C61-C62</f>
        <v>1.5955980494554396</v>
      </c>
      <c r="E62" s="44">
        <f>IFERROR(D62/C61,0)</f>
        <v>0.41321612505400468</v>
      </c>
      <c r="F62" s="56">
        <f>$C$61</f>
        <v>3.8614128363139391</v>
      </c>
      <c r="G62" s="56"/>
      <c r="H62" s="28"/>
      <c r="I62" s="73"/>
      <c r="J62" s="73"/>
      <c r="K62" s="28"/>
      <c r="L62" s="55"/>
      <c r="M62" s="91"/>
    </row>
    <row r="63" spans="1:13" s="30" customFormat="1" ht="40.200000000000003" customHeight="1">
      <c r="B63" s="43" t="s">
        <v>99</v>
      </c>
      <c r="C63" s="40">
        <f>'Part L Outputs'!R96/1000</f>
        <v>2.2658147868584995</v>
      </c>
      <c r="D63" s="40">
        <f>C62-C63</f>
        <v>0</v>
      </c>
      <c r="E63" s="44">
        <f>IFERROR(D63/C61,0)</f>
        <v>0</v>
      </c>
      <c r="F63" s="56">
        <f>$C$61</f>
        <v>3.8614128363139391</v>
      </c>
      <c r="G63" s="56"/>
      <c r="H63" s="28"/>
      <c r="I63" s="73"/>
      <c r="J63" s="73"/>
      <c r="K63" s="28"/>
      <c r="L63" s="55"/>
      <c r="M63" s="91"/>
    </row>
    <row r="64" spans="1:13" s="30" customFormat="1" ht="64.8">
      <c r="B64" s="43" t="s">
        <v>100</v>
      </c>
      <c r="C64" s="40">
        <f>'Part L Outputs'!T96/1000</f>
        <v>0.66271687082680009</v>
      </c>
      <c r="D64" s="40">
        <f>C63-C64</f>
        <v>1.6030979160316994</v>
      </c>
      <c r="E64" s="44">
        <f>IFERROR(D64/C61,0)</f>
        <v>0.41515838476416278</v>
      </c>
      <c r="F64" s="56">
        <f>$C$61</f>
        <v>3.8614128363139391</v>
      </c>
      <c r="G64" s="56"/>
      <c r="H64" s="71"/>
      <c r="I64" s="71" t="s">
        <v>258</v>
      </c>
      <c r="J64" s="71" t="s">
        <v>158</v>
      </c>
      <c r="K64" s="28"/>
      <c r="L64" s="55"/>
      <c r="M64" s="91"/>
    </row>
    <row r="65" spans="1:14" s="30" customFormat="1" ht="40.200000000000003" customHeight="1">
      <c r="B65" s="43" t="s">
        <v>101</v>
      </c>
      <c r="C65" s="45" t="s">
        <v>22</v>
      </c>
      <c r="D65" s="40">
        <f>SUM(D62:D64)</f>
        <v>3.198695965487139</v>
      </c>
      <c r="E65" s="44">
        <f>IFERROR(D65/C61,0)</f>
        <v>0.82837450981816751</v>
      </c>
      <c r="F65" s="56">
        <f>$C$61</f>
        <v>3.8614128363139391</v>
      </c>
      <c r="G65" s="56"/>
      <c r="H65" s="48" t="s">
        <v>102</v>
      </c>
      <c r="I65" s="67"/>
      <c r="J65" s="67"/>
      <c r="K65" s="28"/>
      <c r="L65" s="55"/>
      <c r="M65" s="91"/>
    </row>
    <row r="66" spans="1:14" s="30" customFormat="1" ht="40.200000000000003" customHeight="1">
      <c r="B66" s="39"/>
      <c r="C66" s="45" t="s">
        <v>22</v>
      </c>
      <c r="D66" s="46" t="s">
        <v>103</v>
      </c>
      <c r="E66" s="44" t="s">
        <v>22</v>
      </c>
      <c r="F66" s="53"/>
      <c r="G66" s="53"/>
      <c r="H66" s="48" t="s">
        <v>104</v>
      </c>
      <c r="I66" s="67"/>
      <c r="J66" s="67"/>
      <c r="K66" s="28"/>
      <c r="L66" s="55"/>
      <c r="M66" s="91"/>
    </row>
    <row r="67" spans="1:14" s="30" customFormat="1" ht="40.200000000000003" customHeight="1">
      <c r="B67" s="39" t="s">
        <v>105</v>
      </c>
      <c r="C67" s="45" t="s">
        <v>22</v>
      </c>
      <c r="D67" s="47">
        <f>C24+I24</f>
        <v>19.881506124804002</v>
      </c>
      <c r="E67" s="44" t="s">
        <v>22</v>
      </c>
      <c r="F67" s="53"/>
      <c r="G67" s="53"/>
      <c r="H67" s="28"/>
      <c r="I67" s="28"/>
      <c r="J67" s="28"/>
      <c r="K67" s="28"/>
      <c r="L67" s="55"/>
      <c r="M67" s="91"/>
    </row>
    <row r="68" spans="1:14" s="28" customFormat="1" ht="15">
      <c r="C68" s="73"/>
      <c r="D68" s="73"/>
      <c r="L68" s="55"/>
      <c r="M68" s="29"/>
    </row>
    <row r="69" spans="1:14" ht="24.6">
      <c r="A69" s="57"/>
      <c r="B69" s="310" t="s">
        <v>106</v>
      </c>
      <c r="C69" s="310"/>
      <c r="D69" s="310"/>
      <c r="E69" s="310"/>
      <c r="F69" s="310"/>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3" t="s">
        <v>108</v>
      </c>
      <c r="H71" s="303"/>
      <c r="I71" s="295" t="s">
        <v>109</v>
      </c>
      <c r="J71" s="304"/>
      <c r="K71" s="305"/>
      <c r="M71" s="91"/>
    </row>
    <row r="72" spans="1:14" ht="67.2" customHeight="1">
      <c r="B72" s="39" t="str">
        <f>IF('EUI &amp; space heating demand'!$B$6="","","Residential")</f>
        <v>Residential</v>
      </c>
      <c r="C72" s="39">
        <f>IF('EUI &amp; space heating demand'!$B$6="","",'EUI &amp; space heating demand'!N6)</f>
        <v>36.824675324675326</v>
      </c>
      <c r="D72" s="39">
        <f>IF('EUI &amp; space heating demand'!$B$6="","",'EUI &amp; space heating demand'!O6)</f>
        <v>13.746753246753247</v>
      </c>
      <c r="E72" s="97">
        <f>IF('EUI &amp; space heating demand'!B6="","", 'EUI &amp; space heating demand'!P6)</f>
        <v>35</v>
      </c>
      <c r="F72" s="97">
        <f>IF('EUI &amp; space heating demand'!B6="","", 'EUI &amp; space heating demand'!Q6)</f>
        <v>15</v>
      </c>
      <c r="G72" s="316" t="str">
        <f>IF('EUI &amp; space heating demand'!$B$6="","",CONCATENATE('EUI &amp; space heating demand'!R6, " &amp; ", 'EUI &amp; space heating demand'!S6,  " dwellings / ", 'EUI &amp; space heating demand'!R7, " &amp; ", 'EUI &amp; space heating demand'!S7, " Landlord Circulation " ))</f>
        <v xml:space="preserve">Part L1 - SAP 10.2 &amp; none dwellings /  &amp;  Landlord Circulation </v>
      </c>
      <c r="H72" s="317"/>
      <c r="I72" s="297" t="str">
        <f>IF('EUI &amp; space heating demand'!T6="","", CONCATENATE('EUI &amp; space heating demand'!T6, " &amp; ", 'EUI &amp; space heating demand'!T7))</f>
        <v/>
      </c>
      <c r="J72" s="297"/>
      <c r="K72" s="298"/>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1" t="str">
        <f>IF('EUI &amp; space heating demand'!B13="","",CONCATENATE('EUI &amp; space heating demand'!R13," &amp; ",'EUI &amp; space heating demand'!S13))</f>
        <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3.8614128363139391</v>
      </c>
      <c r="E7" s="135">
        <f t="shared" ref="E7:E12" si="0">D7*0.65</f>
        <v>2.5099183436040606</v>
      </c>
    </row>
    <row r="8" spans="1:5">
      <c r="A8" s="134" t="s">
        <v>98</v>
      </c>
      <c r="B8" s="136">
        <f>'GLA Summary Tables'!C9</f>
        <v>2.2658147868584995</v>
      </c>
      <c r="C8" s="136">
        <f>IF(B8&lt;0,IF('GLA Summary Tables'!C18&lt;0,0,'GLA Summary Tables'!C18)+B8,IF('GLA Summary Tables'!C18&lt;0,0,'GLA Summary Tables'!C18))</f>
        <v>1.5955980494554396</v>
      </c>
      <c r="D8" s="135">
        <f>'GLA Summary Tables'!C$8</f>
        <v>3.8614128363139391</v>
      </c>
      <c r="E8" s="135">
        <f t="shared" si="0"/>
        <v>2.5099183436040606</v>
      </c>
    </row>
    <row r="9" spans="1:5">
      <c r="A9" s="134" t="s">
        <v>112</v>
      </c>
      <c r="B9" s="136">
        <f>'GLA Summary Tables'!C10</f>
        <v>2.2658147868584995</v>
      </c>
      <c r="C9" s="136">
        <f>IF(B9&lt;0,IF('GLA Summary Tables'!C19&lt;0,0,'GLA Summary Tables'!C19)+B9,IF('GLA Summary Tables'!C19&lt;0,0,'GLA Summary Tables'!C19))</f>
        <v>0</v>
      </c>
      <c r="D9" s="135">
        <f>'GLA Summary Tables'!C$8</f>
        <v>3.8614128363139391</v>
      </c>
      <c r="E9" s="135">
        <f t="shared" si="0"/>
        <v>2.5099183436040606</v>
      </c>
    </row>
    <row r="10" spans="1:5">
      <c r="A10" s="134" t="s">
        <v>113</v>
      </c>
      <c r="B10" s="136">
        <f>'GLA Summary Tables'!C11</f>
        <v>0.66271687082680009</v>
      </c>
      <c r="C10" s="136">
        <f>IF(B10&lt;0,IF('GLA Summary Tables'!C20&lt;0,0,'GLA Summary Tables'!C20)+B10,IF('GLA Summary Tables'!C20&lt;0,0,'GLA Summary Tables'!C20))</f>
        <v>1.6030979160316994</v>
      </c>
      <c r="D10" s="135">
        <f>'GLA Summary Tables'!C$8</f>
        <v>3.8614128363139391</v>
      </c>
      <c r="E10" s="135">
        <f t="shared" si="0"/>
        <v>2.5099183436040606</v>
      </c>
    </row>
    <row r="11" spans="1:5">
      <c r="A11" s="134" t="s">
        <v>114</v>
      </c>
      <c r="B11" s="136">
        <v>0</v>
      </c>
      <c r="C11" s="136">
        <f>'GLA Summary Tables'!C22</f>
        <v>0.66271687082680009</v>
      </c>
      <c r="D11" s="135">
        <f>'GLA Summary Tables'!C$8</f>
        <v>3.8614128363139391</v>
      </c>
      <c r="E11" s="135">
        <f t="shared" si="0"/>
        <v>2.5099183436040606</v>
      </c>
    </row>
    <row r="12" spans="1:5">
      <c r="A12" s="134"/>
      <c r="B12" s="133"/>
      <c r="C12" s="133"/>
      <c r="D12" s="135">
        <f>'GLA Summary Tables'!C$8</f>
        <v>3.8614128363139391</v>
      </c>
      <c r="E12" s="135">
        <f t="shared" si="0"/>
        <v>2.5099183436040606</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4e0a9f-a8ad-4792-9c4d-61cac5b576ac">
      <Terms xmlns="http://schemas.microsoft.com/office/infopath/2007/PartnerControls"/>
    </lcf76f155ced4ddcb4097134ff3c332f>
    <TaxCatchAll xmlns="691e3cb7-f055-4ef5-bb57-8314feeb9058" xsi:nil="true"/>
    <PandoraProjectID xmlns="a64e0a9f-a8ad-4792-9c4d-61cac5b576ac" xsi:nil="true"/>
    <Status xmlns="a64e0a9f-a8ad-4792-9c4d-61cac5b576ac">Project</Status>
    <ProjectNumber xmlns="a64e0a9f-a8ad-4792-9c4d-61cac5b576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CEEBEBE478384FA9FCBE4F2B10D363" ma:contentTypeVersion="21" ma:contentTypeDescription="Create a new document." ma:contentTypeScope="" ma:versionID="6a2c69ad9aa52d93c1e942d3d5103e4f">
  <xsd:schema xmlns:xsd="http://www.w3.org/2001/XMLSchema" xmlns:xs="http://www.w3.org/2001/XMLSchema" xmlns:p="http://schemas.microsoft.com/office/2006/metadata/properties" xmlns:ns2="a64e0a9f-a8ad-4792-9c4d-61cac5b576ac" xmlns:ns3="691e3cb7-f055-4ef5-bb57-8314feeb9058" targetNamespace="http://schemas.microsoft.com/office/2006/metadata/properties" ma:root="true" ma:fieldsID="650506e11b4db88469624ed882c728d7" ns2:_="" ns3:_="">
    <xsd:import namespace="a64e0a9f-a8ad-4792-9c4d-61cac5b576ac"/>
    <xsd:import namespace="691e3cb7-f055-4ef5-bb57-8314feeb90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ProjectNumber" minOccurs="0"/>
                <xsd:element ref="ns2:PandoraProjectID" minOccurs="0"/>
                <xsd:element ref="ns2: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4e0a9f-a8ad-4792-9c4d-61cac5b57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ProjectNumber" ma:index="21" nillable="true" ma:displayName="Project Number" ma:format="Dropdown" ma:internalName="ProjectNumber" ma:percentage="FALSE">
      <xsd:simpleType>
        <xsd:restriction base="dms:Number"/>
      </xsd:simpleType>
    </xsd:element>
    <xsd:element name="PandoraProjectID" ma:index="22" nillable="true" ma:displayName="Pandora Project ID" ma:format="Dropdown" ma:internalName="PandoraProjectID">
      <xsd:simpleType>
        <xsd:restriction base="dms:Text">
          <xsd:maxLength value="255"/>
        </xsd:restriction>
      </xsd:simpleType>
    </xsd:element>
    <xsd:element name="Status" ma:index="23" nillable="true" ma:displayName="Status" ma:default="Project" ma:format="Dropdown" ma:internalName="Status">
      <xsd:simpleType>
        <xsd:restriction base="dms:Choice">
          <xsd:enumeration value="Project"/>
          <xsd:enumeration value="Project (complete)"/>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84caaa5-266e-4813-b8da-1c78261fe5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1e3cb7-f055-4ef5-bb57-8314feeb90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03d0298a-ecc5-4faa-998e-41362ab9ca23}" ma:internalName="TaxCatchAll" ma:showField="CatchAllData" ma:web="691e3cb7-f055-4ef5-bb57-8314feeb90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2.xml><?xml version="1.0" encoding="utf-8"?>
<ds:datastoreItem xmlns:ds="http://schemas.openxmlformats.org/officeDocument/2006/customXml" ds:itemID="{4A765D4C-80BB-42DB-A87B-9B6BBA2ABC45}"/>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2025-02-07T09:16:21Z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0x01010093CEEBEBE478384FA9FCBE4F2B10D363</vt:lpwstr>
  </property>
  <property fmtid="{D5CDD505-2E9C-101B-9397-08002B2CF9AE}" pid="3" name="MediaServiceImageTags">
    <vt:lpwstr/>
  </property>
</Properties>
</file>