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Kirsch Family Trust\KFT0001 Saffron Hill\13. GLA Feedback and Resubmisison\2024-07-30 Final Update\2024-07-30 SH GLA Resubission\WLCA\"/>
    </mc:Choice>
  </mc:AlternateContent>
  <xr:revisionPtr revIDLastSave="0" documentId="13_ncr:1_{CFD1A312-C691-4CFA-9E8B-E094FA221B33}" xr6:coauthVersionLast="47" xr6:coauthVersionMax="47" xr10:uidLastSave="{00000000-0000-0000-0000-000000000000}"/>
  <bookViews>
    <workbookView xWindow="-28920" yWindow="-5175" windowWidth="29040" windowHeight="157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 name="_xlnm.Print_Area" localSheetId="4">'Detailed planning stage'!$A$203:$T$229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7" i="11" l="1"/>
  <c r="H77" i="11"/>
  <c r="D67" i="11"/>
  <c r="I67" i="11"/>
  <c r="D77" i="11"/>
  <c r="D89" i="11"/>
  <c r="I89" i="11"/>
  <c r="E103" i="11"/>
  <c r="E104" i="11"/>
  <c r="D184" i="11"/>
  <c r="I184" i="11"/>
  <c r="D183" i="11"/>
  <c r="I183" i="11"/>
  <c r="D182" i="11"/>
  <c r="I182" i="11"/>
  <c r="D181" i="11"/>
  <c r="I181" i="11"/>
  <c r="D180" i="11"/>
  <c r="D179" i="11"/>
  <c r="I179" i="11"/>
  <c r="D178" i="11"/>
  <c r="I178" i="11"/>
  <c r="I177" i="11"/>
  <c r="D176" i="11"/>
  <c r="I176" i="11"/>
  <c r="I175" i="11"/>
  <c r="I173" i="11"/>
  <c r="D171" i="11"/>
  <c r="D170" i="11"/>
  <c r="I170" i="11"/>
  <c r="I169" i="11"/>
  <c r="D168" i="11"/>
  <c r="I168" i="11"/>
  <c r="D167" i="11"/>
  <c r="I167" i="11"/>
  <c r="D166" i="11"/>
  <c r="I166" i="11"/>
  <c r="D165" i="11"/>
  <c r="I164" i="11"/>
  <c r="D163" i="11"/>
  <c r="I163" i="11"/>
  <c r="D162" i="11"/>
  <c r="D161" i="11"/>
  <c r="I161" i="11"/>
  <c r="D160" i="11"/>
  <c r="D159" i="11"/>
  <c r="I159" i="11"/>
  <c r="D158" i="11"/>
  <c r="I158" i="11"/>
  <c r="D157" i="11"/>
  <c r="I157" i="11"/>
  <c r="D156" i="11"/>
  <c r="I156" i="11"/>
  <c r="D155" i="11"/>
  <c r="I155" i="11"/>
  <c r="D154" i="11"/>
  <c r="D153" i="11"/>
  <c r="I153" i="11"/>
  <c r="D152" i="11"/>
  <c r="D151" i="11"/>
  <c r="D150" i="11"/>
  <c r="I150" i="11"/>
  <c r="D149" i="11"/>
  <c r="D148" i="11"/>
  <c r="I148" i="11"/>
  <c r="D147" i="11"/>
  <c r="I147" i="11"/>
  <c r="D146" i="11"/>
  <c r="I146" i="11"/>
  <c r="I142" i="11"/>
  <c r="D145" i="11"/>
  <c r="I145" i="11"/>
  <c r="D144" i="11"/>
  <c r="I144" i="11"/>
  <c r="D143" i="11"/>
  <c r="I143" i="11"/>
  <c r="D139" i="11"/>
  <c r="I139" i="11"/>
  <c r="D138" i="11"/>
  <c r="D137" i="11"/>
  <c r="D136" i="11"/>
  <c r="D135" i="11"/>
  <c r="I134" i="11"/>
  <c r="D133" i="11"/>
  <c r="D132" i="11"/>
  <c r="D131" i="11"/>
  <c r="D130" i="11"/>
  <c r="I130" i="11"/>
  <c r="D129" i="11"/>
  <c r="D128" i="11"/>
  <c r="D126" i="11"/>
  <c r="D125" i="11"/>
  <c r="D124" i="11"/>
  <c r="D123" i="11"/>
  <c r="I123" i="11"/>
  <c r="D62" i="11"/>
  <c r="I62" i="11"/>
  <c r="D63" i="11"/>
  <c r="D97" i="11"/>
  <c r="D111" i="11"/>
  <c r="D114" i="11"/>
  <c r="I114" i="11"/>
  <c r="D113" i="11"/>
  <c r="I113" i="11"/>
  <c r="D112" i="11"/>
  <c r="I112" i="11"/>
  <c r="D106" i="11"/>
  <c r="I106" i="11"/>
  <c r="I104" i="11"/>
  <c r="D196" i="11"/>
  <c r="D59" i="11"/>
  <c r="D60" i="11"/>
  <c r="I193" i="11"/>
  <c r="I194" i="11"/>
  <c r="I192" i="11"/>
  <c r="I191" i="11"/>
  <c r="H190" i="11"/>
  <c r="I189" i="11"/>
  <c r="I119" i="11"/>
  <c r="E119" i="11"/>
  <c r="I117" i="11"/>
  <c r="E113" i="11"/>
  <c r="I108" i="11"/>
  <c r="I109" i="11"/>
  <c r="I105" i="11"/>
  <c r="D103" i="11"/>
  <c r="I102" i="11"/>
  <c r="I101" i="11"/>
  <c r="H100" i="11"/>
  <c r="I98" i="11"/>
  <c r="D93" i="11"/>
  <c r="I93" i="11"/>
  <c r="I97" i="11"/>
  <c r="I96" i="11"/>
  <c r="I94" i="11"/>
  <c r="D92" i="11"/>
  <c r="I92" i="11"/>
  <c r="D91" i="11"/>
  <c r="I90" i="11"/>
  <c r="H88" i="11"/>
  <c r="I86" i="11"/>
  <c r="H85" i="11"/>
  <c r="H87" i="11"/>
  <c r="I84" i="11"/>
  <c r="I83" i="11"/>
  <c r="I81" i="11"/>
  <c r="I82" i="11"/>
  <c r="D79" i="11"/>
  <c r="I79" i="11"/>
  <c r="I75" i="11"/>
  <c r="I74" i="11"/>
  <c r="I71" i="11"/>
  <c r="I72" i="11"/>
  <c r="H73" i="11"/>
  <c r="I70" i="11"/>
  <c r="I69" i="11"/>
  <c r="I66" i="11"/>
  <c r="I65" i="11"/>
  <c r="I64" i="11"/>
  <c r="H64" i="11"/>
  <c r="H57" i="11"/>
  <c r="H58" i="11"/>
  <c r="H63" i="11"/>
  <c r="H61" i="11"/>
  <c r="I56" i="11"/>
  <c r="I74" i="10"/>
  <c r="I77" i="10"/>
  <c r="I73" i="10"/>
  <c r="I70" i="10"/>
  <c r="I71" i="10"/>
  <c r="H71" i="10"/>
  <c r="I69" i="10"/>
  <c r="I68" i="10"/>
  <c r="H68" i="10"/>
  <c r="I64" i="10"/>
  <c r="I63" i="10"/>
  <c r="I62" i="10"/>
  <c r="I56" i="10"/>
  <c r="I58" i="10"/>
  <c r="I57" i="10"/>
  <c r="D60" i="10"/>
  <c r="D59" i="10"/>
  <c r="S100" i="9"/>
  <c r="E26" i="11"/>
  <c r="E25" i="11"/>
  <c r="D26" i="11"/>
  <c r="D25" i="11"/>
  <c r="C26" i="11"/>
  <c r="C25" i="11"/>
  <c r="E44" i="9"/>
  <c r="E43" i="9"/>
  <c r="D44" i="9"/>
  <c r="D43" i="9"/>
  <c r="C44" i="9"/>
  <c r="C43" i="9"/>
  <c r="D26" i="10"/>
  <c r="C26" i="10"/>
  <c r="E26" i="10"/>
  <c r="E25" i="10"/>
  <c r="D25" i="10"/>
  <c r="C25" i="10"/>
  <c r="S105" i="10"/>
  <c r="N121" i="9"/>
  <c r="O121" i="9"/>
  <c r="F228" i="11"/>
  <c r="F229" i="11" s="1"/>
  <c r="I126" i="10"/>
  <c r="F126" i="10"/>
  <c r="S214" i="11"/>
  <c r="F121" i="9"/>
  <c r="S125" i="10"/>
  <c r="S120" i="9"/>
  <c r="T228" i="11"/>
  <c r="T229" i="11"/>
  <c r="S227" i="11"/>
  <c r="O228" i="11"/>
  <c r="O229" i="11"/>
  <c r="G228" i="11"/>
  <c r="G229" i="11"/>
  <c r="D98" i="10"/>
  <c r="I98" i="10"/>
  <c r="H98" i="10"/>
  <c r="I92" i="9"/>
  <c r="H92" i="9"/>
  <c r="D92" i="9"/>
  <c r="S223" i="11"/>
  <c r="S226" i="11"/>
  <c r="S225" i="11"/>
  <c r="S224" i="11"/>
  <c r="S221" i="11"/>
  <c r="L121" i="9"/>
  <c r="S101" i="9"/>
  <c r="S102" i="9"/>
  <c r="S103" i="9"/>
  <c r="S104" i="9"/>
  <c r="S105" i="9"/>
  <c r="S106" i="9"/>
  <c r="S107" i="9"/>
  <c r="S108" i="9"/>
  <c r="S109" i="9"/>
  <c r="S110" i="9"/>
  <c r="S111" i="9"/>
  <c r="S112" i="9"/>
  <c r="S113" i="9"/>
  <c r="S114" i="9"/>
  <c r="S115" i="9"/>
  <c r="S116" i="9"/>
  <c r="S117" i="9"/>
  <c r="S118" i="9"/>
  <c r="S119" i="9"/>
  <c r="I93" i="9"/>
  <c r="H93" i="9"/>
  <c r="D93" i="9"/>
  <c r="T121" i="9"/>
  <c r="R121" i="9"/>
  <c r="R122" i="9"/>
  <c r="Q121" i="9"/>
  <c r="Q122" i="9"/>
  <c r="P121" i="9"/>
  <c r="P122" i="9"/>
  <c r="G40" i="9"/>
  <c r="G41" i="9"/>
  <c r="L122" i="9"/>
  <c r="K121" i="9"/>
  <c r="K122" i="9"/>
  <c r="J121" i="9"/>
  <c r="I121" i="9"/>
  <c r="I122" i="9"/>
  <c r="H121" i="9"/>
  <c r="H122" i="9"/>
  <c r="G121" i="9"/>
  <c r="F122" i="9"/>
  <c r="E121" i="9"/>
  <c r="E122" i="9"/>
  <c r="D121" i="9"/>
  <c r="C121" i="9"/>
  <c r="T126" i="10"/>
  <c r="I22" i="10"/>
  <c r="R126" i="10"/>
  <c r="R127" i="10"/>
  <c r="Q126" i="10"/>
  <c r="Q127" i="10"/>
  <c r="P126" i="10"/>
  <c r="P127" i="10"/>
  <c r="O126" i="10"/>
  <c r="N126" i="10"/>
  <c r="N127" i="10"/>
  <c r="L126" i="10"/>
  <c r="G22" i="10"/>
  <c r="K126" i="10"/>
  <c r="J126" i="10"/>
  <c r="J127" i="10"/>
  <c r="I127" i="10"/>
  <c r="H126" i="10"/>
  <c r="H127" i="10"/>
  <c r="G126" i="10"/>
  <c r="F127" i="10"/>
  <c r="E126" i="10"/>
  <c r="E127" i="10"/>
  <c r="D126" i="10"/>
  <c r="C126" i="10"/>
  <c r="S124" i="10"/>
  <c r="S123" i="10"/>
  <c r="S122" i="10"/>
  <c r="S121" i="10"/>
  <c r="S120" i="10"/>
  <c r="S119" i="10"/>
  <c r="S118" i="10"/>
  <c r="S117" i="10"/>
  <c r="S116" i="10"/>
  <c r="S115" i="10"/>
  <c r="S114" i="10"/>
  <c r="S113" i="10"/>
  <c r="S112" i="10"/>
  <c r="S111" i="10"/>
  <c r="S110" i="10"/>
  <c r="S109" i="10"/>
  <c r="S108" i="10"/>
  <c r="S107" i="10"/>
  <c r="S106" i="10"/>
  <c r="S208" i="11"/>
  <c r="S209" i="11"/>
  <c r="S210" i="11"/>
  <c r="S211" i="11"/>
  <c r="S213" i="11"/>
  <c r="S215" i="11"/>
  <c r="S216" i="11"/>
  <c r="S217" i="11"/>
  <c r="S218" i="11"/>
  <c r="S219" i="11"/>
  <c r="S220" i="11"/>
  <c r="S222" i="11"/>
  <c r="S207" i="11"/>
  <c r="P228" i="11"/>
  <c r="P229" i="11" s="1"/>
  <c r="Q228" i="11"/>
  <c r="Q229" i="11" s="1"/>
  <c r="R228" i="11"/>
  <c r="R229" i="11" s="1"/>
  <c r="N228" i="11"/>
  <c r="N229" i="11"/>
  <c r="L228" i="11"/>
  <c r="L229" i="11"/>
  <c r="J228" i="11"/>
  <c r="J229" i="11" s="1"/>
  <c r="I228" i="11"/>
  <c r="H228" i="11"/>
  <c r="H229" i="11" s="1"/>
  <c r="E228" i="11"/>
  <c r="E229" i="11"/>
  <c r="C22" i="10"/>
  <c r="C23" i="10"/>
  <c r="D40" i="9"/>
  <c r="D41" i="9"/>
  <c r="E22" i="10"/>
  <c r="E23" i="10"/>
  <c r="D127" i="10"/>
  <c r="D22" i="10"/>
  <c r="D23" i="10"/>
  <c r="D122" i="9"/>
  <c r="C40" i="9"/>
  <c r="C41" i="9"/>
  <c r="E40" i="9"/>
  <c r="E41" i="9"/>
  <c r="S126" i="10"/>
  <c r="S127" i="10"/>
  <c r="S121" i="9"/>
  <c r="S122" i="9"/>
  <c r="O122" i="9"/>
  <c r="H40" i="9"/>
  <c r="H41" i="9"/>
  <c r="G122" i="9"/>
  <c r="F40" i="9"/>
  <c r="F41" i="9"/>
  <c r="T122" i="9"/>
  <c r="I40" i="9"/>
  <c r="I41" i="9"/>
  <c r="O127" i="10"/>
  <c r="G127" i="10"/>
  <c r="F22" i="10"/>
  <c r="F23" i="10"/>
  <c r="T127" i="10"/>
  <c r="C127" i="10"/>
  <c r="K127" i="10"/>
  <c r="L127" i="10"/>
  <c r="G23" i="10"/>
  <c r="C122" i="9"/>
  <c r="N122" i="9"/>
  <c r="J122" i="9"/>
  <c r="I23" i="10"/>
  <c r="H22" i="10"/>
  <c r="H23" i="10"/>
  <c r="I99" i="10"/>
  <c r="H99" i="10"/>
  <c r="D99" i="10"/>
  <c r="D228" i="11"/>
  <c r="D229" i="11"/>
  <c r="C228" i="11"/>
  <c r="C229" i="11"/>
  <c r="K228" i="11"/>
  <c r="K229" i="11" s="1"/>
  <c r="S212" i="11"/>
  <c r="I22" i="11"/>
  <c r="H67" i="11"/>
  <c r="H199" i="11"/>
  <c r="H200" i="11"/>
  <c r="D199" i="11"/>
  <c r="D200" i="11"/>
  <c r="I199" i="11"/>
  <c r="I200" i="11"/>
  <c r="G22" i="11"/>
  <c r="C22" i="11"/>
  <c r="C34" i="9" s="1"/>
  <c r="I23" i="11"/>
  <c r="I35" i="9"/>
  <c r="I34" i="9"/>
  <c r="G34" i="9"/>
  <c r="G23" i="11"/>
  <c r="G35" i="9"/>
  <c r="C23" i="11" l="1"/>
  <c r="C35" i="9" s="1"/>
  <c r="F22" i="11"/>
  <c r="D22" i="11"/>
  <c r="D34" i="9" s="1"/>
  <c r="S228" i="11"/>
  <c r="S229" i="11" s="1"/>
  <c r="H22" i="11"/>
  <c r="E22" i="11"/>
  <c r="E34" i="9"/>
  <c r="E23" i="11"/>
  <c r="E35" i="9" s="1"/>
  <c r="F34" i="9"/>
  <c r="F23" i="11"/>
  <c r="F35" i="9" s="1"/>
  <c r="I229" i="11"/>
  <c r="D23" i="11" l="1"/>
  <c r="D35" i="9" s="1"/>
  <c r="H34" i="9"/>
  <c r="H23" i="11"/>
  <c r="H35" i="9" s="1"/>
</calcChain>
</file>

<file path=xl/sharedStrings.xml><?xml version="1.0" encoding="utf-8"?>
<sst xmlns="http://schemas.openxmlformats.org/spreadsheetml/2006/main" count="1318" uniqueCount="496">
  <si>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</si>
  <si>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</si>
  <si>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</si>
  <si>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</si>
  <si>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</si>
  <si>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</si>
  <si>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</si>
  <si>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</si>
  <si>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</si>
  <si>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</si>
  <si>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</si>
  <si>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</si>
  <si>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</si>
  <si>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</si>
  <si>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</si>
  <si>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</si>
  <si>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</si>
  <si>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</si>
  <si>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</si>
  <si>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</si>
  <si>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</si>
  <si>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</si>
  <si>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</si>
  <si>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</si>
  <si>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</si>
  <si>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</si>
  <si>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</si>
  <si>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</si>
  <si>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</si>
  <si>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</si>
  <si>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</si>
  <si>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</si>
  <si>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</si>
  <si>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</si>
  <si>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</si>
  <si>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</si>
  <si>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</si>
  <si>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</si>
  <si>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</si>
  <si>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</si>
  <si>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</si>
  <si>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</si>
  <si>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</si>
  <si>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</si>
  <si>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</si>
  <si>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</si>
  <si>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</si>
  <si>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</si>
  <si>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</si>
  <si>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</si>
  <si>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</si>
  <si>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</si>
  <si>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</si>
  <si>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</si>
  <si>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</si>
  <si>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</si>
  <si>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</si>
  <si>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</si>
  <si>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</si>
  <si>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</si>
  <si>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</si>
  <si>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</si>
  <si>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</si>
  <si>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</si>
  <si>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</si>
  <si>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</si>
  <si>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</si>
  <si>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</si>
  <si>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</si>
  <si>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</si>
  <si>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</si>
  <si>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</si>
  <si>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</si>
  <si>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</si>
  <si>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</si>
  <si>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</si>
  <si>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</si>
  <si>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</si>
  <si>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</si>
  <si>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</si>
  <si>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</si>
  <si>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</si>
  <si>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</si>
  <si>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</si>
  <si>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</si>
  <si>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</si>
  <si>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</si>
  <si>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</si>
  <si>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</si>
  <si>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</si>
  <si>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</si>
  <si>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</si>
  <si>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</si>
  <si>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</si>
  <si>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</si>
  <si>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</si>
  <si>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</si>
  <si>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</si>
  <si>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</si>
  <si>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</si>
  <si>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</si>
  <si>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</si>
  <si>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</si>
  <si>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</si>
  <si>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</si>
  <si>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</si>
  <si>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</si>
  <si>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</si>
  <si>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</si>
  <si>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</si>
  <si>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</si>
  <si>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</si>
  <si>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</si>
  <si>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</si>
  <si>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</si>
  <si>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</si>
  <si>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</si>
  <si>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</si>
  <si>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</si>
  <si>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</si>
  <si>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</si>
  <si>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</si>
  <si>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</si>
  <si>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</si>
  <si>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</si>
  <si>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</si>
  <si>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</si>
  <si>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</si>
  <si>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</si>
  <si>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</si>
  <si>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</si>
  <si>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</si>
  <si>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</si>
  <si>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</si>
  <si>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</si>
  <si>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</si>
  <si>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</si>
  <si>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</si>
  <si>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</si>
  <si>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</si>
  <si>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</si>
  <si>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</si>
  <si>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</si>
  <si>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</si>
  <si>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</si>
  <si>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</si>
  <si>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</si>
  <si>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</si>
  <si>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</si>
  <si>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</si>
  <si>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</si>
  <si>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</si>
  <si>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</si>
  <si>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</si>
  <si>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</si>
  <si>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</si>
  <si>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</si>
  <si>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</si>
  <si>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</si>
  <si>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</si>
  <si>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</si>
  <si>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</si>
  <si>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</si>
  <si>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</si>
  <si>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</si>
  <si>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</si>
  <si>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</si>
  <si>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</si>
  <si>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</si>
  <si>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</si>
  <si>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</si>
  <si>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</si>
  <si>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</si>
  <si>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</si>
  <si>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</si>
  <si>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</si>
  <si>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</si>
  <si>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</si>
  <si>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</si>
  <si>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</si>
  <si>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</si>
  <si>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</si>
  <si>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</si>
  <si>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</si>
  <si>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</si>
  <si>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</si>
  <si>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</si>
  <si>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</si>
  <si>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</si>
  <si>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</si>
  <si>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</si>
  <si>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</si>
  <si>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</si>
  <si>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</si>
  <si>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</si>
  <si>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</si>
  <si>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</si>
  <si>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</si>
  <si>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</si>
  <si>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</si>
  <si>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</si>
  <si>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</si>
  <si>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</si>
  <si>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</si>
  <si>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</si>
  <si>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</si>
  <si>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</si>
  <si>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</si>
  <si>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</si>
  <si>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</si>
  <si>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</si>
  <si>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</si>
  <si>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</si>
  <si>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</si>
  <si>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</si>
  <si>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</si>
  <si>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</si>
  <si>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</si>
  <si>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</si>
  <si>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</si>
  <si>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</si>
  <si>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</si>
  <si>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</si>
  <si>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</si>
  <si>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</si>
  <si>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</si>
  <si>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</si>
  <si>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</si>
  <si>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</si>
  <si>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</si>
  <si>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</si>
  <si>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</si>
  <si>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</si>
  <si>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</si>
  <si>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</si>
  <si>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</si>
  <si>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</si>
  <si>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</si>
  <si>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</si>
  <si>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</si>
  <si>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</si>
  <si>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</si>
  <si>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</si>
  <si>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</si>
  <si>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</si>
  <si>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</si>
  <si>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</si>
  <si>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</si>
  <si>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</si>
  <si>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</si>
  <si>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</si>
  <si>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</si>
  <si>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</si>
  <si>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</si>
  <si>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</si>
  <si>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</si>
  <si>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</si>
  <si>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</si>
  <si>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</si>
  <si>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</si>
  <si>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</si>
  <si>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</si>
  <si>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</si>
  <si>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</si>
  <si>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</si>
  <si>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</si>
  <si>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</si>
  <si>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</si>
  <si>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</si>
  <si>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</si>
  <si>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</si>
  <si>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</si>
  <si>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</si>
  <si>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</si>
  <si>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</si>
  <si>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</si>
  <si>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</si>
  <si>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</si>
  <si>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</si>
  <si>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</si>
  <si>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</si>
  <si>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</si>
  <si>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</si>
  <si>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</si>
  <si>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</si>
  <si>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</si>
  <si>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</si>
  <si>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</si>
  <si>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</si>
  <si>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</si>
  <si>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</si>
  <si>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</si>
  <si>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</si>
  <si>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</si>
  <si>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</si>
  <si>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</si>
  <si>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</si>
  <si>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</si>
  <si>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</si>
  <si>
    <t>Saffron Hill</t>
  </si>
  <si>
    <t>Alan Calcott, Han Chieh Lee</t>
  </si>
  <si>
    <r>
      <t>TOTAL
Modules A-C 
kgCO</t>
    </r>
    <r>
      <rPr>
        <b/>
        <vertAlign val="subscript"/>
        <sz val="8"/>
        <color rgb="FFFFFFFF"/>
        <rFont val="Arial"/>
        <family val="2"/>
      </rPr>
      <t>2</t>
    </r>
    <r>
      <rPr>
        <b/>
        <sz val="8"/>
        <color rgb="FFFFFFFF"/>
        <rFont val="Arial"/>
        <family val="2"/>
      </rPr>
      <t>e</t>
    </r>
  </si>
  <si>
    <t xml:space="preserve">Reinforcement steel </t>
  </si>
  <si>
    <t xml:space="preserve">Assumed permanent service life. </t>
  </si>
  <si>
    <t>Steel recycling</t>
  </si>
  <si>
    <t>Ready-mix concrete, C32/40  30% GGBS content in cement</t>
  </si>
  <si>
    <t>Concrete crushed to aggregate</t>
  </si>
  <si>
    <t>plastic recycling</t>
  </si>
  <si>
    <t>Waterproofing membrane</t>
  </si>
  <si>
    <t>Landfilling (for inert materials)</t>
  </si>
  <si>
    <t>Structural steel profiles, 60% recycled content</t>
  </si>
  <si>
    <t>Metal facade cladding from Nordic bronze</t>
  </si>
  <si>
    <t>Steel purlins and framing</t>
  </si>
  <si>
    <t>Plastic vapour control layer</t>
  </si>
  <si>
    <t>EPS insulation</t>
  </si>
  <si>
    <t>Reinforcement steel (rebar), generic</t>
  </si>
  <si>
    <t>CLT wood panels, biogenic CO2 not subtracted (for CML)</t>
  </si>
  <si>
    <t>90% reclaimed 10% recycled</t>
  </si>
  <si>
    <t>Hollow core concrete slabs, generic</t>
  </si>
  <si>
    <t>Floor screed mortar, cement screed</t>
  </si>
  <si>
    <t>Acoustic partition roll insulation, unfaced</t>
  </si>
  <si>
    <t>recycle to certified contractor</t>
  </si>
  <si>
    <t>Concrete - C40/50</t>
  </si>
  <si>
    <t>Rock wool insulation for ETICS and flat roofs</t>
  </si>
  <si>
    <t>Gypsum board, water resistant</t>
  </si>
  <si>
    <t>Steel framing system for dry lining</t>
  </si>
  <si>
    <t>40 years</t>
  </si>
  <si>
    <t>TM54</t>
  </si>
  <si>
    <t>60 years</t>
  </si>
  <si>
    <t>One Click LCA</t>
  </si>
  <si>
    <t>demolish and reuse the existing car park and proposed a new build 9-storey office building</t>
  </si>
  <si>
    <t>60% of existing foundation</t>
  </si>
  <si>
    <t>60% of the existing foundation will be retained, please see more detail in Circular Economy Statement and Pre-Redevelopment Audit</t>
  </si>
  <si>
    <t>Assumed 20 % recyclable</t>
  </si>
  <si>
    <t>2.2.2 Balconies - Stainless steel handrail</t>
  </si>
  <si>
    <t>2.2.2 Balconies - Toughened safety glass</t>
  </si>
  <si>
    <t>Steel reclaimed</t>
  </si>
  <si>
    <t>glass recycled</t>
  </si>
  <si>
    <t>EPS Insulation</t>
  </si>
  <si>
    <t>Multi layer waterproofing system with flexible sheets for roofing</t>
  </si>
  <si>
    <t>Glass wool insulation, unfaced</t>
  </si>
  <si>
    <t xml:space="preserve">recycled </t>
  </si>
  <si>
    <t>Synthetic roofing membrane from FPO - PP</t>
  </si>
  <si>
    <t>Raised floor system steel pedestal, per m2</t>
  </si>
  <si>
    <t>Assumed 25 year service life - replaced 2 times.</t>
  </si>
  <si>
    <t>Planned redwood decking</t>
  </si>
  <si>
    <t>Extensive green roof system</t>
  </si>
  <si>
    <t>assumed 60% recycable</t>
  </si>
  <si>
    <t>Coping system (for rood edging) from coated aluminium sheets</t>
  </si>
  <si>
    <t>Ready-mix concrete, normal strength, generic</t>
  </si>
  <si>
    <t>Steel/aluminum helical staircase, with railing and landing</t>
  </si>
  <si>
    <t>Reclaimed</t>
  </si>
  <si>
    <t>Rock wool insulation panels</t>
  </si>
  <si>
    <t>Assumed 90% recycable</t>
  </si>
  <si>
    <t>Fiber reinforced cement board for exterior</t>
  </si>
  <si>
    <t xml:space="preserve">Recycled </t>
  </si>
  <si>
    <t>Copper sunshade (Brise-Soleil), French average</t>
  </si>
  <si>
    <t>metal recycled</t>
  </si>
  <si>
    <t>Precast concrete blocks (CMU)</t>
  </si>
  <si>
    <t>Cementitious mortar for masonry work</t>
  </si>
  <si>
    <t>Gypsum plasterboard</t>
  </si>
  <si>
    <t>Metal framing components for gypsum plasterboard</t>
  </si>
  <si>
    <t>HS2 baseline - Structural steel Sections</t>
  </si>
  <si>
    <t>Polyethylene vapour barrier membrane</t>
  </si>
  <si>
    <t>Natural stone wall cladding</t>
  </si>
  <si>
    <t xml:space="preserve">reclaimed </t>
  </si>
  <si>
    <t>Window system for glass façade, with aluminum composite profile framing, double glazed</t>
  </si>
  <si>
    <t>EPDM rubber membrane for weather-sealing around window frames and facades</t>
  </si>
  <si>
    <t>High pressure and solid grade laminate sheets (HPL and SGL)</t>
  </si>
  <si>
    <t>100% recycle by certified contractor</t>
  </si>
  <si>
    <t>Fire proof door with wood frame, automatic closing, biogenic CO2 not subtracted (for CML)</t>
  </si>
  <si>
    <t>Wooden door with wooden frame, fire resistant, biogenic CO2 not subtracted (for CML)</t>
  </si>
  <si>
    <t xml:space="preserve">Assumed 40 year service life - replaced 1 times. </t>
  </si>
  <si>
    <t>Emulsion matt paint for allround interior use</t>
  </si>
  <si>
    <t xml:space="preserve">Assumed 10 year service life - replaced 5 times. </t>
  </si>
  <si>
    <t xml:space="preserve">Assumed 30 year service life - replaced 1 times. </t>
  </si>
  <si>
    <t xml:space="preserve">Assumed 15 year service life - replaced 3 times. </t>
  </si>
  <si>
    <t xml:space="preserve">Assumed 20 year service life - replaced 2 times. </t>
  </si>
  <si>
    <t>3.2.2.Raised access floors - Polyurethane waterproofing membrane</t>
  </si>
  <si>
    <t>3.2.2.Raised access floors - Gypsum fibre tiles for raised flooring systems</t>
  </si>
  <si>
    <t>3.2.2.Raised access floors - Acoustic insulation sheets from calcium carbonate</t>
  </si>
  <si>
    <t>3.2.2.Raised access floors - Raised access flooring system</t>
  </si>
  <si>
    <t xml:space="preserve">Assumed 50 year service life - replaced 1 times. </t>
  </si>
  <si>
    <t>Assumed 60% recycable</t>
  </si>
  <si>
    <t>Assumed 100% recycable</t>
  </si>
  <si>
    <t>Fibre bonded carpet tiles and sheets</t>
  </si>
  <si>
    <t>Luxury vinyl tile flooring, for commercial use</t>
  </si>
  <si>
    <t>Ceramic tiles</t>
  </si>
  <si>
    <t>Mirror</t>
  </si>
  <si>
    <t xml:space="preserve">Assumed 35 year service life - replaced 1 times. </t>
  </si>
  <si>
    <t>Stainless steel handrail</t>
  </si>
  <si>
    <t>Waterborne acrylic intumescent coating for steel surfaces</t>
  </si>
  <si>
    <t>5.1.Sanitary installations - Ceramic toilet with flush tank (cistern)</t>
  </si>
  <si>
    <t xml:space="preserve">	Landfilling (for inert materials)</t>
  </si>
  <si>
    <t>5.1.Sanitary installations - Ceramic wall-mounted bathroom sink</t>
  </si>
  <si>
    <t>5.1.Sanitary installations - Shower head</t>
  </si>
  <si>
    <t>5.10.2.Escalators - Electric elevator elements (cabin and others), complete system</t>
  </si>
  <si>
    <t>Stainless steel recycling</t>
  </si>
  <si>
    <t>steel recycling</t>
  </si>
  <si>
    <t>5.11 Fire and lightning protection - Smoke detector</t>
  </si>
  <si>
    <t>5.11 Fire and lightning protection - Communication cable</t>
  </si>
  <si>
    <t>Metal-containing product recycling (90 % metal)</t>
  </si>
  <si>
    <t>Assumed 35 year service life - replaced 1 times.</t>
  </si>
  <si>
    <t>Assumed 22 year service life - replaced 2 times.</t>
  </si>
  <si>
    <t>Assumed 80% recycable</t>
  </si>
  <si>
    <t>Assumed 45 year service life - replaced 1 times.</t>
  </si>
  <si>
    <t>Assumed 17 year service life - replaced 3 times.</t>
  </si>
  <si>
    <t>Aluminum louver shutter</t>
  </si>
  <si>
    <t>Natural stone slab for exterior paving</t>
  </si>
  <si>
    <t>Brick/stone crushed to aggregate</t>
  </si>
  <si>
    <t>Galvanised steel profiles - Cycle rack</t>
  </si>
  <si>
    <t>Structural steel bollard (Truck Stopper)</t>
  </si>
  <si>
    <t>Precast drainage channels</t>
  </si>
  <si>
    <t>Rebar separated (2 %), concrete to aggregate</t>
  </si>
  <si>
    <t>Concrete kerbs</t>
  </si>
  <si>
    <t>Landfilling</t>
  </si>
  <si>
    <t xml:space="preserve">Façade material seclected has lower impact </t>
  </si>
  <si>
    <t xml:space="preserve">foundations being retained with minimal further piles to support new basement structural slab </t>
  </si>
  <si>
    <t>Use Class E - Offices</t>
  </si>
  <si>
    <t>One Click LCA, both EN15804 amendments, A1 and A2</t>
  </si>
  <si>
    <t>Yes</t>
  </si>
  <si>
    <t>WSHP - R134A</t>
  </si>
  <si>
    <t>15th February 2024</t>
  </si>
  <si>
    <t xml:space="preserve">Within the accompanying WLCA there is a section which details our process. Wherever possible measurements have been taken from CAD drawings and / or Revit models. The data quantities have been compared to the Billl of Quantities and a complete review was undertaken with Exigere (Cost Consultants), AHMM (Architects) and with HTS (Structures). Further internal checks and QA's have been undertaken. </t>
  </si>
  <si>
    <t>ASHP - R32</t>
  </si>
  <si>
    <t>Air Cooled Chillers - R32</t>
  </si>
  <si>
    <t xml:space="preserve">Procure lower impact raised access floor  </t>
  </si>
  <si>
    <t>Use 20% reclaimed steel of total beams and column</t>
  </si>
  <si>
    <t xml:space="preserve">recycled content in concrete frame and steel frame </t>
  </si>
  <si>
    <t xml:space="preserve">5.11 Fire and lightning protection - Fire Alarm </t>
  </si>
  <si>
    <t xml:space="preserve">Assumed 45 year service life - replaced 1 times. </t>
  </si>
  <si>
    <t>5.1.Sanitary installations - Brass fixtures, taps</t>
  </si>
  <si>
    <t>Metal-containing product recycling</t>
  </si>
  <si>
    <t>5.6.Space heating and cooling - Modular chiller</t>
  </si>
  <si>
    <t>5.6.Space heating and cooling -  Pipe and tubes insulation from rock wool DN 100 mm.</t>
  </si>
  <si>
    <t xml:space="preserve">5.11 Fire and lighting protection - waterborne acrylic intumescent coat </t>
  </si>
  <si>
    <t>5.6.8 Local air conditioning - Fan coil unit AET System</t>
  </si>
  <si>
    <t>Assumed 30 year service life - replaced 1 times.</t>
  </si>
  <si>
    <t>5.7 Ventilation system - Galvanized steel ducting</t>
  </si>
  <si>
    <t>5.7 Ventilation system - Glass wool insulataion for air ducts</t>
  </si>
  <si>
    <t>5.7 Ventilation system - Air handling units, modular, collective or tertiary</t>
  </si>
  <si>
    <t>5.4.3 Hot water distribution - Galvanized steel pipes</t>
  </si>
  <si>
    <t>5.4.3 Hot water distribution - Pipe and tubes insulation from rock wool DN 100 mm.</t>
  </si>
  <si>
    <t>5.8 Electrical installtion - Electricity distribution system, cabling and central</t>
  </si>
  <si>
    <t>5.11 Fire and lightning protection - Output device</t>
  </si>
  <si>
    <t>5.11 Fire and lightning protection - indicator lights</t>
  </si>
  <si>
    <t>5.11 Fire and lightning protection - Electrical junction box</t>
  </si>
  <si>
    <t>5.11 Fire and lightning protection - Steel pipes for heating and cooling system</t>
  </si>
  <si>
    <t>5.6 Space heating and cooling -  Steel pipes for heating and cooling system</t>
  </si>
  <si>
    <t>5.11 Fire and lightning protection - Fire sprinkler</t>
  </si>
  <si>
    <t>5.11 Fire and lightning protection - Hot dip galvanized steel</t>
  </si>
  <si>
    <t>5.11 Fire and lightning protection - Flexible shower hose</t>
  </si>
  <si>
    <t>5.11 Fire and lightning protection - Stainless steel sheet</t>
  </si>
  <si>
    <t xml:space="preserve">	Stainless steel recycling</t>
  </si>
  <si>
    <t>5.11 Fire and lightning protection - Manometers</t>
  </si>
  <si>
    <t>5.11 Fire and lightning protection - Cast iron globe valves</t>
  </si>
  <si>
    <t>5.11 Fire and lightning protection - Brass quarter-turn valve</t>
  </si>
  <si>
    <t>5.11 Fire and lightning protection - Waterborne acrylic paint for painting of metals</t>
  </si>
  <si>
    <t>5.4.1 Main water supply - Water distribution system - Galvanized steel water supply plumbing</t>
  </si>
  <si>
    <t>5.4.1 Main water supply - Water distribution system - Pre-insulated pipes</t>
  </si>
  <si>
    <t>5.4.1 Main water supply - Water distribution system - Brass quarter-turn valve</t>
  </si>
  <si>
    <t>5.4.1 Main water supply - Water distribution system - Composite water meter</t>
  </si>
  <si>
    <t>5.4.1 Main water supply - Water distribution system - Valve, 2 or 3-way</t>
  </si>
  <si>
    <t>5.4.1 Main water supply - Water distribution system - Manometers</t>
  </si>
  <si>
    <t>5.4.1 Main water supply - Water distribution system - Thermodynamic water heater</t>
  </si>
  <si>
    <t>5.4.1 Main water supply - Water distribution system - Thermostatic water mixer</t>
  </si>
  <si>
    <t>5.4.1 Main water supply - Water distribution system - Water pressure regulator</t>
  </si>
  <si>
    <t>5.4.1 Main water supply - Water distribution system - Stainless steel sheet</t>
  </si>
  <si>
    <t>5.4.1 Main water supply - Water distribution system - Expansion tank/vessel</t>
  </si>
  <si>
    <t>5.4.1 Main water supply - Water distribution system - PVC rainwater drainage piping network</t>
  </si>
  <si>
    <t>5.4.1 Main water supply - Water distribution system - Steel pipes for heating and cooling system</t>
  </si>
  <si>
    <t>5.3.1.Foul drainage above the ground - Rainwater sewage network - HDPE sewage pipe</t>
  </si>
  <si>
    <t>5.3.1.Foul drainage above the ground - Rainwater sewage network - Hot dip galvanized sheet</t>
  </si>
  <si>
    <t>5.4.2 Cold water distribution - Cold water storage tank</t>
  </si>
  <si>
    <t xml:space="preserve">5.4.2 Cold water distribution - booster pump </t>
  </si>
  <si>
    <t>5.4.4 Local hot water - Heated water storage tank, for collective use</t>
  </si>
  <si>
    <t>5.8 Electrical insatllation - Oil immersed ground mounted transformer</t>
  </si>
  <si>
    <t>5.8 Electrical insatllation - LED overhead lighting system</t>
  </si>
  <si>
    <t>5.8 Electrical insatllation - LED Downlight</t>
  </si>
  <si>
    <t>5.6.2.Local heating - Fan coil unit - Perimeter heating</t>
  </si>
  <si>
    <t xml:space="preserve">5.8 Electrical installtion - cable tray system </t>
  </si>
  <si>
    <t>5.5 Heat source - Air/air reversible heat pump, rooftop mounted, heating/cooling</t>
  </si>
  <si>
    <t>5.6 Space heating and cooling -  Rectangular fire damper</t>
  </si>
  <si>
    <t>5.4. Water installtion - Copper pipes, Type L, DN 32 mm</t>
  </si>
  <si>
    <t>5.4. Water installtion - Pipes and tubes insulation from rock wool</t>
  </si>
  <si>
    <t>5.4. Water installtion - Valve, 2 or 3-way</t>
  </si>
  <si>
    <t>5.8.5 Local electricity generation system - Roof integrated mono-crystalline photovoltaic module</t>
  </si>
  <si>
    <t>5.8.5 Local electricity generation system - Aluminium section (mounting)</t>
  </si>
  <si>
    <t>5.3.1.Foul drainage above the ground - Cast iron drainage pipes and fittings</t>
  </si>
  <si>
    <t>Dispersion-based tile adhesive for all tile and vinyl floor</t>
  </si>
  <si>
    <t>Aluminium façade cladding panel, powder coated, 70% recycled content</t>
  </si>
  <si>
    <t>Aluminium framework system for fixing the facade cladding</t>
  </si>
  <si>
    <t xml:space="preserve">Glass wool /mineral insualtion </t>
  </si>
  <si>
    <t xml:space="preserve">Gypsum Recycled </t>
  </si>
  <si>
    <t>100% recycle by certified contractor, Gypsum recycling</t>
  </si>
  <si>
    <t>Hollow core concrete slabs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</si>
</sst>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 numFmtId="170" formatCode="##,##0.0\ &quot;kg&quot;"/>
  </numFmts>
  <fonts count="52"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8"/>
      <color theme="1"/>
      <name val="Arial"/>
      <family val="2"/>
    </font>
    <font>
      <sz val="8"/>
      <color rgb="FFFF0000"/>
      <name val="Arial"/>
      <family val="2"/>
    </font>
    <font>
      <b/>
      <sz val="8"/>
      <color rgb="FF000000"/>
      <name val="Arial"/>
      <family val="2"/>
    </font>
    <font>
      <sz val="8"/>
      <color rgb="FF000000"/>
      <name val="Arial"/>
      <family val="2"/>
    </font>
    <font>
      <b/>
      <sz val="8"/>
      <color rgb="FF006699"/>
      <name val="Arial"/>
      <family val="2"/>
    </font>
    <font>
      <sz val="8"/>
      <color theme="1"/>
      <name val="Times New Roman"/>
      <family val="1"/>
    </font>
    <font>
      <b/>
      <sz val="8"/>
      <color rgb="FFFFFFFF"/>
      <name val="Arial"/>
      <family val="2"/>
    </font>
    <font>
      <b/>
      <vertAlign val="subscript"/>
      <sz val="8"/>
      <color rgb="FFFFFFFF"/>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30">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4" fillId="0" borderId="0" xfId="0" applyFont="1" applyAlignment="1">
      <alignment horizontal="center"/>
    </xf>
    <xf numFmtId="0" fontId="44" fillId="0" borderId="0" xfId="0" applyFont="1" applyAlignment="1">
      <alignment horizontal="center" vertical="center" wrapText="1"/>
    </xf>
    <xf numFmtId="0" fontId="44" fillId="4" borderId="0" xfId="0" applyFont="1" applyFill="1" applyAlignment="1">
      <alignment horizontal="center"/>
    </xf>
    <xf numFmtId="0" fontId="44" fillId="0" borderId="0" xfId="0" applyFont="1" applyAlignment="1">
      <alignment horizontal="center" vertical="center"/>
    </xf>
    <xf numFmtId="0" fontId="33" fillId="0" borderId="0" xfId="0" applyFont="1" applyAlignment="1">
      <alignment horizontal="center" vertical="center"/>
    </xf>
    <xf numFmtId="0" fontId="45" fillId="0" borderId="0" xfId="0" applyFont="1" applyAlignment="1">
      <alignment horizontal="center" vertical="center"/>
    </xf>
    <xf numFmtId="0" fontId="44" fillId="0" borderId="0" xfId="0" applyFont="1"/>
    <xf numFmtId="0" fontId="46" fillId="0" borderId="1" xfId="0" applyFont="1" applyBorder="1" applyAlignment="1">
      <alignment horizontal="center" vertical="center" wrapText="1"/>
    </xf>
    <xf numFmtId="166" fontId="33" fillId="9" borderId="1" xfId="0" applyNumberFormat="1" applyFont="1" applyFill="1" applyBorder="1" applyAlignment="1" applyProtection="1">
      <alignment horizontal="center" vertical="center" wrapText="1"/>
      <protection locked="0"/>
    </xf>
    <xf numFmtId="166" fontId="46" fillId="12" borderId="6" xfId="0" applyNumberFormat="1" applyFont="1" applyFill="1" applyBorder="1" applyAlignment="1">
      <alignment horizontal="center" vertical="center" wrapText="1"/>
    </xf>
    <xf numFmtId="165" fontId="46" fillId="12" borderId="40" xfId="0" applyNumberFormat="1" applyFont="1" applyFill="1" applyBorder="1" applyAlignment="1">
      <alignment horizontal="center" vertical="center" wrapText="1"/>
    </xf>
    <xf numFmtId="0" fontId="47" fillId="4" borderId="0" xfId="0" applyFont="1" applyFill="1" applyAlignment="1">
      <alignment horizontal="center" vertical="center"/>
    </xf>
    <xf numFmtId="0" fontId="48" fillId="0" borderId="0" xfId="0" applyFont="1" applyAlignment="1">
      <alignment vertical="center"/>
    </xf>
    <xf numFmtId="0" fontId="49" fillId="0" borderId="0" xfId="0" applyFont="1" applyAlignment="1">
      <alignment vertical="center" wrapText="1"/>
    </xf>
    <xf numFmtId="0" fontId="44" fillId="0" borderId="0" xfId="0" applyFont="1" applyAlignment="1">
      <alignment vertical="center" wrapText="1"/>
    </xf>
    <xf numFmtId="0" fontId="44" fillId="4" borderId="0" xfId="0" applyFont="1" applyFill="1"/>
    <xf numFmtId="0" fontId="44" fillId="0" borderId="0" xfId="0" applyFont="1" applyAlignment="1">
      <alignment vertical="center"/>
    </xf>
    <xf numFmtId="0" fontId="45" fillId="0" borderId="0" xfId="0" applyFont="1" applyAlignment="1">
      <alignment vertical="center"/>
    </xf>
    <xf numFmtId="166" fontId="33" fillId="12" borderId="1" xfId="0" applyNumberFormat="1" applyFont="1" applyFill="1" applyBorder="1" applyAlignment="1">
      <alignment horizontal="center" vertical="center" wrapText="1"/>
    </xf>
    <xf numFmtId="166" fontId="47" fillId="12" borderId="1" xfId="0" applyNumberFormat="1" applyFont="1" applyFill="1" applyBorder="1" applyAlignment="1">
      <alignment horizontal="center" vertical="center" wrapText="1"/>
    </xf>
    <xf numFmtId="0" fontId="4" fillId="9" borderId="6" xfId="0" applyFont="1" applyFill="1" applyBorder="1" applyAlignment="1" applyProtection="1">
      <alignment horizontal="left"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9" fontId="4" fillId="9" borderId="7" xfId="0" applyNumberFormat="1" applyFont="1" applyFill="1" applyBorder="1" applyAlignment="1" applyProtection="1">
      <alignment horizontal="left" vertical="center" wrapText="1"/>
      <protection locked="0"/>
    </xf>
    <xf numFmtId="0" fontId="4" fillId="9" borderId="6" xfId="0" applyFont="1" applyFill="1" applyBorder="1" applyAlignment="1" applyProtection="1">
      <alignment vertical="center" wrapText="1"/>
      <protection locked="0"/>
    </xf>
    <xf numFmtId="0" fontId="4" fillId="9" borderId="18" xfId="0" applyFont="1" applyFill="1" applyBorder="1" applyAlignment="1" applyProtection="1">
      <alignment vertical="center" wrapText="1"/>
      <protection locked="0"/>
    </xf>
    <xf numFmtId="0" fontId="4" fillId="9" borderId="3" xfId="0" applyFont="1" applyFill="1" applyBorder="1" applyAlignment="1" applyProtection="1">
      <alignment horizontal="left" vertical="center"/>
      <protection locked="0"/>
    </xf>
    <xf numFmtId="0" fontId="4" fillId="9"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center" vertical="center" wrapText="1"/>
      <protection locked="0"/>
    </xf>
    <xf numFmtId="2" fontId="4" fillId="9" borderId="3" xfId="0" applyNumberFormat="1" applyFont="1" applyFill="1" applyBorder="1" applyAlignment="1" applyProtection="1">
      <alignment horizontal="center" vertical="center"/>
      <protection locked="0"/>
    </xf>
    <xf numFmtId="0" fontId="0" fillId="9" borderId="1" xfId="0" applyFill="1" applyBorder="1" applyAlignment="1" applyProtection="1">
      <alignment horizontal="left" vertical="center" wrapText="1"/>
      <protection locked="0"/>
    </xf>
    <xf numFmtId="170" fontId="4" fillId="9" borderId="1"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50" fillId="5" borderId="6"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9" borderId="1" xfId="0" applyFill="1" applyBorder="1" applyAlignment="1" applyProtection="1">
      <alignmen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6" fillId="0" borderId="23" xfId="0" applyFont="1" applyBorder="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2</xdr:col>
          <xdr:colOff>3686175</xdr:colOff>
          <xdr:row>17</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200025</xdr:colOff>
          <xdr:row>18</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5" customWidth="1"/>
  </cols>
  <sheetData>
    <row r="3" spans="2:3" x14ac:dyDescent="0.2">
      <c r="B3" s="49" t="s">
        <v>0</v>
      </c>
    </row>
    <row r="5" spans="2:3" x14ac:dyDescent="0.2">
      <c r="B5" s="181" t="s">
        <v>1</v>
      </c>
      <c r="C5" s="182" t="s">
        <v>2</v>
      </c>
    </row>
    <row r="6" spans="2:3" ht="25.5" x14ac:dyDescent="0.2">
      <c r="B6" s="219" t="s">
        <v>3</v>
      </c>
      <c r="C6" s="183" t="s">
        <v>4</v>
      </c>
    </row>
    <row r="7" spans="2:3" x14ac:dyDescent="0.2">
      <c r="B7" s="220"/>
      <c r="C7" s="179" t="s">
        <v>5</v>
      </c>
    </row>
    <row r="8" spans="2:3" x14ac:dyDescent="0.2">
      <c r="B8" s="221" t="s">
        <v>6</v>
      </c>
      <c r="C8" s="179" t="s">
        <v>7</v>
      </c>
    </row>
    <row r="9" spans="2:3" ht="25.5" x14ac:dyDescent="0.2">
      <c r="B9" s="221"/>
      <c r="C9" s="179" t="s">
        <v>8</v>
      </c>
    </row>
    <row r="10" spans="2:3" x14ac:dyDescent="0.2">
      <c r="B10" s="221"/>
      <c r="C10" s="179" t="s">
        <v>9</v>
      </c>
    </row>
    <row r="11" spans="2:3" ht="25.5" x14ac:dyDescent="0.2">
      <c r="B11" s="221"/>
      <c r="C11" s="179" t="s">
        <v>10</v>
      </c>
    </row>
    <row r="12" spans="2:3" ht="25.5" x14ac:dyDescent="0.2">
      <c r="B12" s="221"/>
      <c r="C12" s="179" t="s">
        <v>11</v>
      </c>
    </row>
    <row r="13" spans="2:3" x14ac:dyDescent="0.2">
      <c r="B13" s="221"/>
      <c r="C13" s="179" t="s">
        <v>12</v>
      </c>
    </row>
    <row r="14" spans="2:3" x14ac:dyDescent="0.2">
      <c r="B14" s="221"/>
      <c r="C14" s="179" t="s">
        <v>13</v>
      </c>
    </row>
    <row r="15" spans="2:3" ht="25.5" x14ac:dyDescent="0.2">
      <c r="B15" s="221"/>
      <c r="C15" s="179" t="s">
        <v>14</v>
      </c>
    </row>
    <row r="16" spans="2:3" ht="25.5" x14ac:dyDescent="0.2">
      <c r="B16" s="221"/>
      <c r="C16" s="179" t="s">
        <v>15</v>
      </c>
    </row>
    <row r="17" spans="2:3" ht="25.5" x14ac:dyDescent="0.2">
      <c r="B17" s="221"/>
      <c r="C17" s="179" t="s">
        <v>16</v>
      </c>
    </row>
    <row r="18" spans="2:3" x14ac:dyDescent="0.2">
      <c r="B18" s="221"/>
      <c r="C18" s="179" t="s">
        <v>17</v>
      </c>
    </row>
    <row r="19" spans="2:3" ht="27.75" customHeight="1" x14ac:dyDescent="0.2">
      <c r="B19" s="222"/>
      <c r="C19" s="180" t="s">
        <v>18</v>
      </c>
    </row>
    <row r="20" spans="2:3" ht="19.5" customHeight="1" x14ac:dyDescent="0.2">
      <c r="B20" s="220" t="s">
        <v>19</v>
      </c>
      <c r="C20" s="179" t="s">
        <v>20</v>
      </c>
    </row>
    <row r="21" spans="2:3" ht="26.25" customHeight="1" x14ac:dyDescent="0.2">
      <c r="B21" s="220"/>
      <c r="C21" s="179"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223" t="s">
        <v>24</v>
      </c>
      <c r="B5" s="223"/>
      <c r="C5" s="223"/>
      <c r="D5" s="223"/>
      <c r="E5" s="223"/>
      <c r="F5" s="223"/>
      <c r="G5" s="223"/>
      <c r="H5" s="223"/>
      <c r="I5" s="223"/>
      <c r="J5" s="223"/>
      <c r="K5" s="223"/>
      <c r="L5" s="223"/>
    </row>
    <row r="6" spans="1:12" ht="12.75" customHeight="1" x14ac:dyDescent="0.2">
      <c r="A6" s="223"/>
      <c r="B6" s="223"/>
      <c r="C6" s="223"/>
      <c r="D6" s="223"/>
      <c r="E6" s="223"/>
      <c r="F6" s="223"/>
      <c r="G6" s="223"/>
      <c r="H6" s="223"/>
      <c r="I6" s="223"/>
      <c r="J6" s="223"/>
      <c r="K6" s="223"/>
      <c r="L6" s="223"/>
    </row>
    <row r="7" spans="1:12" ht="12.75" customHeight="1" x14ac:dyDescent="0.2">
      <c r="A7" s="223"/>
      <c r="B7" s="223"/>
      <c r="C7" s="223"/>
      <c r="D7" s="223"/>
      <c r="E7" s="223"/>
      <c r="F7" s="223"/>
      <c r="G7" s="223"/>
      <c r="H7" s="223"/>
      <c r="I7" s="223"/>
      <c r="J7" s="223"/>
      <c r="K7" s="223"/>
      <c r="L7" s="223"/>
    </row>
    <row r="8" spans="1:12" ht="34.5" customHeight="1" x14ac:dyDescent="0.2">
      <c r="A8" s="225" t="s">
        <v>25</v>
      </c>
      <c r="B8" s="225"/>
      <c r="C8" s="225"/>
      <c r="D8" s="225"/>
      <c r="E8" s="225"/>
      <c r="F8" s="225"/>
      <c r="G8" s="225"/>
      <c r="H8" s="225"/>
      <c r="I8" s="225"/>
      <c r="J8" s="225"/>
      <c r="K8" s="225"/>
      <c r="L8" s="225"/>
    </row>
    <row r="9" spans="1:12" ht="15" customHeight="1" x14ac:dyDescent="0.2">
      <c r="A9" s="223" t="s">
        <v>26</v>
      </c>
      <c r="B9" s="223"/>
      <c r="C9" s="223"/>
      <c r="D9" s="223"/>
      <c r="E9" s="223"/>
      <c r="F9" s="223"/>
      <c r="G9" s="223"/>
      <c r="H9" s="223"/>
      <c r="I9" s="223"/>
      <c r="J9" s="223"/>
      <c r="K9" s="223"/>
      <c r="L9" s="223"/>
    </row>
    <row r="10" spans="1:12" ht="33" customHeight="1" x14ac:dyDescent="0.2">
      <c r="A10" s="223"/>
      <c r="B10" s="223"/>
      <c r="C10" s="223"/>
      <c r="D10" s="223"/>
      <c r="E10" s="223"/>
      <c r="F10" s="223"/>
      <c r="G10" s="223"/>
      <c r="H10" s="223"/>
      <c r="I10" s="223"/>
      <c r="J10" s="223"/>
      <c r="K10" s="223"/>
      <c r="L10" s="223"/>
    </row>
    <row r="11" spans="1:12" ht="15" customHeight="1" x14ac:dyDescent="0.2">
      <c r="A11" s="101" t="s">
        <v>27</v>
      </c>
      <c r="B11" s="100"/>
      <c r="C11" s="100"/>
      <c r="D11" s="98"/>
      <c r="E11" s="98"/>
      <c r="F11" s="98"/>
      <c r="G11" s="98"/>
      <c r="H11" s="98"/>
      <c r="I11" s="98"/>
      <c r="J11" s="98"/>
      <c r="K11" s="98"/>
      <c r="L11" s="98"/>
    </row>
    <row r="12" spans="1:12" x14ac:dyDescent="0.2">
      <c r="A12" s="223" t="s">
        <v>28</v>
      </c>
      <c r="B12" s="223"/>
      <c r="C12" s="223"/>
      <c r="D12" s="223"/>
      <c r="E12" s="223"/>
      <c r="F12" s="223"/>
      <c r="G12" s="223"/>
      <c r="H12" s="223"/>
      <c r="I12" s="223"/>
      <c r="J12" s="223"/>
      <c r="K12" s="223"/>
      <c r="L12" s="223"/>
    </row>
    <row r="13" spans="1:12" ht="35.25" customHeight="1" x14ac:dyDescent="0.2">
      <c r="A13" s="223"/>
      <c r="B13" s="223"/>
      <c r="C13" s="223"/>
      <c r="D13" s="223"/>
      <c r="E13" s="223"/>
      <c r="F13" s="223"/>
      <c r="G13" s="223"/>
      <c r="H13" s="223"/>
      <c r="I13" s="223"/>
      <c r="J13" s="223"/>
      <c r="K13" s="223"/>
      <c r="L13" s="223"/>
    </row>
    <row r="14" spans="1:12" x14ac:dyDescent="0.2">
      <c r="A14" s="101" t="s">
        <v>29</v>
      </c>
      <c r="B14" s="98"/>
      <c r="C14" s="98"/>
      <c r="D14" s="98"/>
      <c r="E14" s="98"/>
      <c r="F14" s="98"/>
      <c r="G14" s="98"/>
      <c r="H14" s="98"/>
      <c r="I14" s="98"/>
      <c r="J14" s="98"/>
      <c r="K14" s="98"/>
      <c r="L14" s="98"/>
    </row>
    <row r="15" spans="1:12" x14ac:dyDescent="0.2">
      <c r="A15" s="223" t="s">
        <v>30</v>
      </c>
      <c r="B15" s="223"/>
      <c r="C15" s="223"/>
      <c r="D15" s="223"/>
      <c r="E15" s="223"/>
      <c r="F15" s="223"/>
      <c r="G15" s="223"/>
      <c r="H15" s="223"/>
      <c r="I15" s="223"/>
      <c r="J15" s="223"/>
      <c r="K15" s="223"/>
      <c r="L15" s="223"/>
    </row>
    <row r="16" spans="1:12" ht="35.25" customHeight="1" x14ac:dyDescent="0.2">
      <c r="A16" s="223"/>
      <c r="B16" s="223"/>
      <c r="C16" s="223"/>
      <c r="D16" s="223"/>
      <c r="E16" s="223"/>
      <c r="F16" s="223"/>
      <c r="G16" s="223"/>
      <c r="H16" s="223"/>
      <c r="I16" s="223"/>
      <c r="J16" s="223"/>
      <c r="K16" s="223"/>
      <c r="L16" s="223"/>
    </row>
    <row r="17" spans="1:12" x14ac:dyDescent="0.2">
      <c r="A17" s="101" t="s">
        <v>31</v>
      </c>
      <c r="B17" s="98"/>
      <c r="C17" s="98"/>
      <c r="D17" s="98"/>
      <c r="E17" s="98"/>
      <c r="F17" s="98"/>
      <c r="G17" s="98"/>
      <c r="H17" s="98"/>
      <c r="I17" s="98"/>
      <c r="J17" s="98"/>
      <c r="K17" s="98"/>
      <c r="L17" s="98"/>
    </row>
    <row r="18" spans="1:12" x14ac:dyDescent="0.2">
      <c r="A18" s="223" t="s">
        <v>32</v>
      </c>
      <c r="B18" s="223"/>
      <c r="C18" s="223"/>
      <c r="D18" s="223"/>
      <c r="E18" s="223"/>
      <c r="F18" s="223"/>
      <c r="G18" s="223"/>
      <c r="H18" s="223"/>
      <c r="I18" s="223"/>
      <c r="J18" s="223"/>
      <c r="K18" s="223"/>
      <c r="L18" s="223"/>
    </row>
    <row r="19" spans="1:12" ht="20.25" customHeight="1" x14ac:dyDescent="0.2">
      <c r="A19" s="223"/>
      <c r="B19" s="223"/>
      <c r="C19" s="223"/>
      <c r="D19" s="223"/>
      <c r="E19" s="223"/>
      <c r="F19" s="223"/>
      <c r="G19" s="223"/>
      <c r="H19" s="223"/>
      <c r="I19" s="223"/>
      <c r="J19" s="223"/>
      <c r="K19" s="223"/>
      <c r="L19" s="223"/>
    </row>
    <row r="20" spans="1:12" ht="16.5" customHeight="1" x14ac:dyDescent="0.2">
      <c r="A20" s="223"/>
      <c r="B20" s="223"/>
      <c r="C20" s="223"/>
      <c r="D20" s="223"/>
      <c r="E20" s="223"/>
      <c r="F20" s="223"/>
      <c r="G20" s="223"/>
      <c r="H20" s="223"/>
      <c r="I20" s="223"/>
      <c r="J20" s="223"/>
      <c r="K20" s="223"/>
      <c r="L20" s="223"/>
    </row>
    <row r="21" spans="1:12" ht="14.25" customHeight="1" x14ac:dyDescent="0.2">
      <c r="A21" s="224" t="s">
        <v>33</v>
      </c>
      <c r="B21" s="224"/>
      <c r="C21" s="224"/>
      <c r="D21" s="224"/>
      <c r="E21" s="224"/>
      <c r="F21" s="224"/>
      <c r="G21" s="224"/>
      <c r="H21" s="224"/>
      <c r="I21" s="224"/>
      <c r="J21" s="224"/>
      <c r="K21" s="224"/>
      <c r="L21" s="224"/>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223" t="s">
        <v>35</v>
      </c>
      <c r="B25" s="223"/>
      <c r="C25" s="223"/>
      <c r="D25" s="223"/>
      <c r="E25" s="223"/>
      <c r="F25" s="223"/>
      <c r="G25" s="223"/>
      <c r="H25" s="223"/>
      <c r="I25" s="223"/>
      <c r="J25" s="223"/>
      <c r="K25" s="223"/>
      <c r="L25" s="223"/>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8" sqref="C8:F8"/>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43" t="s">
        <v>36</v>
      </c>
      <c r="B1" s="244"/>
      <c r="C1" s="254"/>
      <c r="D1" s="254"/>
      <c r="E1" s="254"/>
      <c r="F1" s="254"/>
    </row>
    <row r="2" spans="1:8" ht="15.75" customHeight="1" x14ac:dyDescent="0.2">
      <c r="A2" s="241" t="s">
        <v>37</v>
      </c>
      <c r="B2" s="242"/>
      <c r="C2" s="230"/>
      <c r="D2" s="230"/>
      <c r="E2" s="230"/>
      <c r="F2" s="230"/>
    </row>
    <row r="3" spans="1:8" ht="15.75" customHeight="1" x14ac:dyDescent="0.2">
      <c r="A3" s="242" t="s">
        <v>38</v>
      </c>
      <c r="B3" s="245"/>
      <c r="C3" s="230"/>
      <c r="D3" s="230"/>
      <c r="E3" s="230"/>
      <c r="F3" s="230"/>
    </row>
    <row r="4" spans="1:8" ht="15.75" customHeight="1" x14ac:dyDescent="0.2">
      <c r="A4" s="241" t="s">
        <v>39</v>
      </c>
      <c r="B4" s="242"/>
      <c r="C4" s="230"/>
      <c r="D4" s="230"/>
      <c r="E4" s="230"/>
      <c r="F4" s="230"/>
    </row>
    <row r="5" spans="1:8" ht="15.75" customHeight="1" x14ac:dyDescent="0.2">
      <c r="A5" s="241" t="s">
        <v>40</v>
      </c>
      <c r="B5" s="242"/>
      <c r="C5" s="230"/>
      <c r="D5" s="230"/>
      <c r="E5" s="230"/>
      <c r="F5" s="230"/>
    </row>
    <row r="6" spans="1:8" ht="15.75" customHeight="1" x14ac:dyDescent="0.2">
      <c r="A6" s="241" t="s">
        <v>41</v>
      </c>
      <c r="B6" s="242"/>
      <c r="C6" s="230"/>
      <c r="D6" s="230"/>
      <c r="E6" s="230"/>
      <c r="F6" s="230"/>
    </row>
    <row r="7" spans="1:8" s="42" customFormat="1" ht="15.75" customHeight="1" x14ac:dyDescent="0.2">
      <c r="A7" s="241" t="s">
        <v>42</v>
      </c>
      <c r="B7" s="242"/>
      <c r="C7" s="230"/>
      <c r="D7" s="230"/>
      <c r="E7" s="230"/>
      <c r="F7" s="230"/>
    </row>
    <row r="8" spans="1:8" s="42" customFormat="1" ht="15.75" customHeight="1" x14ac:dyDescent="0.2">
      <c r="A8" s="241" t="s">
        <v>43</v>
      </c>
      <c r="B8" s="242"/>
      <c r="C8" s="231"/>
      <c r="D8" s="231"/>
      <c r="E8" s="231"/>
      <c r="F8" s="231"/>
      <c r="G8" s="43"/>
    </row>
    <row r="9" spans="1:8" s="42" customFormat="1" ht="15.75" customHeight="1" x14ac:dyDescent="0.2">
      <c r="A9" s="43"/>
      <c r="B9" s="43"/>
      <c r="C9" s="43"/>
      <c r="D9" s="43"/>
      <c r="E9" s="43"/>
      <c r="F9" s="43"/>
      <c r="G9" s="43"/>
    </row>
    <row r="10" spans="1:8" s="45" customFormat="1" ht="42.75" customHeight="1" x14ac:dyDescent="0.2">
      <c r="A10" s="232" t="s">
        <v>44</v>
      </c>
      <c r="B10" s="232" t="s">
        <v>45</v>
      </c>
      <c r="C10" s="233" t="s">
        <v>46</v>
      </c>
      <c r="D10" s="234"/>
      <c r="E10" s="228" t="s">
        <v>47</v>
      </c>
      <c r="F10" s="229"/>
      <c r="G10"/>
    </row>
    <row r="11" spans="1:8" ht="55.5" customHeight="1" x14ac:dyDescent="0.2">
      <c r="A11" s="248">
        <v>1</v>
      </c>
      <c r="B11" s="246" t="s">
        <v>48</v>
      </c>
      <c r="C11" s="250" t="s">
        <v>49</v>
      </c>
      <c r="D11" s="251"/>
      <c r="E11" s="160" t="s">
        <v>50</v>
      </c>
      <c r="F11" s="162" t="s">
        <v>51</v>
      </c>
      <c r="H11" s="163"/>
    </row>
    <row r="12" spans="1:8" ht="44.25" customHeight="1" x14ac:dyDescent="0.2">
      <c r="A12" s="249"/>
      <c r="B12" s="247"/>
      <c r="C12" s="252"/>
      <c r="D12" s="253"/>
      <c r="E12" s="160" t="s">
        <v>52</v>
      </c>
      <c r="F12" s="162" t="s">
        <v>53</v>
      </c>
      <c r="H12" s="163"/>
    </row>
    <row r="13" spans="1:8" ht="54" customHeight="1" x14ac:dyDescent="0.2">
      <c r="A13" s="249"/>
      <c r="B13" s="247"/>
      <c r="C13" s="252"/>
      <c r="D13" s="253"/>
      <c r="E13" s="161" t="s">
        <v>54</v>
      </c>
      <c r="F13" s="164" t="s">
        <v>55</v>
      </c>
      <c r="H13" s="163"/>
    </row>
    <row r="14" spans="1:8" ht="38.25" customHeight="1" x14ac:dyDescent="0.2">
      <c r="A14" s="41">
        <v>2</v>
      </c>
      <c r="B14" s="46" t="s">
        <v>56</v>
      </c>
      <c r="C14" s="236" t="s">
        <v>57</v>
      </c>
      <c r="D14" s="237"/>
      <c r="E14" s="226"/>
      <c r="F14" s="226"/>
    </row>
    <row r="15" spans="1:8" ht="68.25" customHeight="1" x14ac:dyDescent="0.2">
      <c r="A15" s="41">
        <v>3</v>
      </c>
      <c r="B15" s="46" t="s">
        <v>58</v>
      </c>
      <c r="C15" s="236" t="s">
        <v>59</v>
      </c>
      <c r="D15" s="237"/>
      <c r="E15" s="226"/>
      <c r="F15" s="226"/>
    </row>
    <row r="16" spans="1:8" ht="39.75" customHeight="1" x14ac:dyDescent="0.2">
      <c r="A16" s="41">
        <v>4</v>
      </c>
      <c r="B16" s="46" t="s">
        <v>60</v>
      </c>
      <c r="C16" s="236" t="s">
        <v>61</v>
      </c>
      <c r="D16" s="237"/>
      <c r="E16" s="226"/>
      <c r="F16" s="226"/>
    </row>
    <row r="17" spans="1:6" ht="54" customHeight="1" x14ac:dyDescent="0.2">
      <c r="A17" s="41">
        <v>5</v>
      </c>
      <c r="B17" s="46" t="s">
        <v>62</v>
      </c>
      <c r="C17" s="236" t="s">
        <v>63</v>
      </c>
      <c r="D17" s="237"/>
      <c r="E17" s="226"/>
      <c r="F17" s="226"/>
    </row>
    <row r="18" spans="1:6" ht="51" customHeight="1" x14ac:dyDescent="0.2">
      <c r="A18" s="41">
        <v>6</v>
      </c>
      <c r="B18" s="46" t="s">
        <v>64</v>
      </c>
      <c r="C18" s="236" t="s">
        <v>65</v>
      </c>
      <c r="D18" s="237"/>
      <c r="E18" s="226"/>
      <c r="F18" s="226"/>
    </row>
    <row r="19" spans="1:6" ht="67.5" customHeight="1" x14ac:dyDescent="0.2">
      <c r="A19" s="41">
        <v>7</v>
      </c>
      <c r="B19" s="46" t="s">
        <v>66</v>
      </c>
      <c r="C19" s="236" t="s">
        <v>67</v>
      </c>
      <c r="D19" s="237"/>
      <c r="E19" s="226"/>
      <c r="F19" s="226"/>
    </row>
    <row r="20" spans="1:6" ht="63" customHeight="1" x14ac:dyDescent="0.2">
      <c r="A20" s="41">
        <v>8</v>
      </c>
      <c r="B20" s="46" t="s">
        <v>68</v>
      </c>
      <c r="C20" s="236" t="s">
        <v>69</v>
      </c>
      <c r="D20" s="237"/>
      <c r="E20" s="226"/>
      <c r="F20" s="226"/>
    </row>
    <row r="21" spans="1:6" ht="85.5" customHeight="1" x14ac:dyDescent="0.2">
      <c r="A21" s="41">
        <v>9</v>
      </c>
      <c r="B21" s="46" t="s">
        <v>70</v>
      </c>
      <c r="C21" s="236" t="s">
        <v>71</v>
      </c>
      <c r="D21" s="237"/>
      <c r="E21" s="226"/>
      <c r="F21" s="226"/>
    </row>
    <row r="22" spans="1:6" ht="49.5" customHeight="1" x14ac:dyDescent="0.2">
      <c r="A22" s="41">
        <v>10</v>
      </c>
      <c r="B22" s="46" t="s">
        <v>72</v>
      </c>
      <c r="C22" s="236" t="s">
        <v>73</v>
      </c>
      <c r="D22" s="237"/>
      <c r="E22" s="226"/>
      <c r="F22" s="226"/>
    </row>
    <row r="23" spans="1:6" ht="85.5" customHeight="1" x14ac:dyDescent="0.2">
      <c r="A23" s="41">
        <v>11</v>
      </c>
      <c r="B23" s="46" t="s">
        <v>74</v>
      </c>
      <c r="C23" s="236" t="s">
        <v>75</v>
      </c>
      <c r="D23" s="237"/>
      <c r="E23" s="226"/>
      <c r="F23" s="226"/>
    </row>
    <row r="24" spans="1:6" ht="54.75" customHeight="1" x14ac:dyDescent="0.2">
      <c r="A24" s="41">
        <v>12</v>
      </c>
      <c r="B24" s="46" t="s">
        <v>76</v>
      </c>
      <c r="C24" s="236" t="s">
        <v>77</v>
      </c>
      <c r="D24" s="237"/>
      <c r="E24" s="226"/>
      <c r="F24" s="226"/>
    </row>
    <row r="25" spans="1:6" ht="78" customHeight="1" x14ac:dyDescent="0.2">
      <c r="A25" s="41">
        <v>13</v>
      </c>
      <c r="B25" s="46" t="s">
        <v>78</v>
      </c>
      <c r="C25" s="236" t="s">
        <v>79</v>
      </c>
      <c r="D25" s="237"/>
      <c r="E25" s="226"/>
      <c r="F25" s="226"/>
    </row>
    <row r="26" spans="1:6" ht="81" customHeight="1" x14ac:dyDescent="0.2">
      <c r="A26" s="41">
        <v>14</v>
      </c>
      <c r="B26" s="46" t="s">
        <v>80</v>
      </c>
      <c r="C26" s="236" t="s">
        <v>81</v>
      </c>
      <c r="D26" s="237"/>
      <c r="E26" s="226"/>
      <c r="F26" s="226"/>
    </row>
    <row r="27" spans="1:6" ht="81" customHeight="1" x14ac:dyDescent="0.2">
      <c r="A27" s="41">
        <v>15</v>
      </c>
      <c r="B27" s="46" t="s">
        <v>82</v>
      </c>
      <c r="C27" s="237" t="s">
        <v>83</v>
      </c>
      <c r="D27" s="240"/>
      <c r="E27" s="227"/>
      <c r="F27" s="227"/>
    </row>
    <row r="28" spans="1:6" ht="70.5" customHeight="1" x14ac:dyDescent="0.2">
      <c r="A28" s="41">
        <v>16</v>
      </c>
      <c r="B28" s="165" t="s">
        <v>84</v>
      </c>
      <c r="C28" s="238" t="s">
        <v>85</v>
      </c>
      <c r="D28" s="239"/>
      <c r="E28" s="226"/>
      <c r="F28" s="226"/>
    </row>
    <row r="29" spans="1:6" x14ac:dyDescent="0.2">
      <c r="B29" s="235"/>
      <c r="C29" s="235"/>
      <c r="D29" s="235"/>
      <c r="E29" s="235"/>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63"/>
  <sheetViews>
    <sheetView showGridLines="0" topLeftCell="A72" zoomScale="73" zoomScaleNormal="73" workbookViewId="0">
      <selection activeCell="D58" sqref="D58"/>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184" customWidth="1"/>
    <col min="19" max="19" width="14.85546875" style="190" customWidth="1"/>
    <col min="20" max="20" width="29.140625" customWidth="1"/>
    <col min="26" max="26" width="46" bestFit="1" customWidth="1"/>
    <col min="27" max="27" width="126.42578125" customWidth="1"/>
  </cols>
  <sheetData>
    <row r="1" spans="1:19" x14ac:dyDescent="0.2">
      <c r="A1" s="308" t="s">
        <v>36</v>
      </c>
      <c r="B1" s="309"/>
      <c r="C1" s="310"/>
      <c r="D1" s="310"/>
      <c r="E1" s="310"/>
      <c r="F1" s="311"/>
      <c r="G1" s="166"/>
    </row>
    <row r="2" spans="1:19" x14ac:dyDescent="0.2">
      <c r="A2" s="241" t="s">
        <v>37</v>
      </c>
      <c r="B2" s="241"/>
      <c r="C2" s="288" t="s">
        <v>299</v>
      </c>
      <c r="D2" s="288"/>
      <c r="E2" s="288"/>
      <c r="F2" s="288"/>
      <c r="G2" s="166"/>
      <c r="H2" s="274" t="s">
        <v>86</v>
      </c>
      <c r="I2" s="275"/>
      <c r="J2" s="276"/>
      <c r="K2" s="49"/>
    </row>
    <row r="3" spans="1:19" x14ac:dyDescent="0.2">
      <c r="A3" s="242" t="s">
        <v>38</v>
      </c>
      <c r="B3" s="293"/>
      <c r="C3" s="288"/>
      <c r="D3" s="288"/>
      <c r="E3" s="288"/>
      <c r="F3" s="288"/>
      <c r="G3" s="166"/>
      <c r="H3" s="124"/>
      <c r="I3" s="272" t="s">
        <v>87</v>
      </c>
      <c r="J3" s="273"/>
      <c r="K3" s="45"/>
    </row>
    <row r="4" spans="1:19" x14ac:dyDescent="0.2">
      <c r="A4" s="241" t="s">
        <v>88</v>
      </c>
      <c r="B4" s="241"/>
      <c r="C4" s="288" t="s">
        <v>268</v>
      </c>
      <c r="D4" s="288"/>
      <c r="E4" s="288"/>
      <c r="F4" s="288"/>
      <c r="G4" s="166"/>
      <c r="H4" s="38"/>
      <c r="I4" s="272" t="s">
        <v>89</v>
      </c>
      <c r="J4" s="273"/>
      <c r="K4" s="45"/>
    </row>
    <row r="5" spans="1:19" ht="21" customHeight="1" x14ac:dyDescent="0.2">
      <c r="A5" s="241" t="s">
        <v>40</v>
      </c>
      <c r="B5" s="241"/>
      <c r="C5" s="285"/>
      <c r="D5" s="288"/>
      <c r="E5" s="288"/>
      <c r="F5" s="288"/>
      <c r="G5" s="166"/>
      <c r="H5" s="143"/>
      <c r="I5" s="272" t="s">
        <v>90</v>
      </c>
      <c r="J5" s="273"/>
    </row>
    <row r="6" spans="1:19" ht="14.25" x14ac:dyDescent="0.2">
      <c r="A6" s="241" t="s">
        <v>41</v>
      </c>
      <c r="B6" s="241"/>
      <c r="C6" s="288">
        <v>11529</v>
      </c>
      <c r="D6" s="288"/>
      <c r="E6" s="288"/>
      <c r="F6" s="288"/>
      <c r="G6" s="166"/>
    </row>
    <row r="7" spans="1:19" x14ac:dyDescent="0.2">
      <c r="A7"/>
      <c r="C7"/>
      <c r="D7"/>
      <c r="E7"/>
      <c r="F7"/>
      <c r="G7" s="166"/>
    </row>
    <row r="8" spans="1:19" ht="15" customHeight="1" x14ac:dyDescent="0.2">
      <c r="A8" s="308" t="s">
        <v>91</v>
      </c>
      <c r="B8" s="309"/>
      <c r="C8" s="310"/>
      <c r="D8" s="310"/>
      <c r="E8" s="310"/>
      <c r="F8" s="311"/>
      <c r="G8" s="166"/>
      <c r="H8" s="166"/>
    </row>
    <row r="9" spans="1:19" s="42" customFormat="1" x14ac:dyDescent="0.2">
      <c r="A9" s="241" t="s">
        <v>42</v>
      </c>
      <c r="B9" s="241"/>
      <c r="C9" s="288" t="s">
        <v>300</v>
      </c>
      <c r="D9" s="288"/>
      <c r="E9" s="288"/>
      <c r="F9" s="288"/>
      <c r="O9" s="48"/>
      <c r="P9" s="185"/>
      <c r="Q9" s="185"/>
      <c r="R9" s="185"/>
      <c r="S9" s="198"/>
    </row>
    <row r="10" spans="1:19" s="42" customFormat="1" x14ac:dyDescent="0.2">
      <c r="A10" s="241" t="s">
        <v>92</v>
      </c>
      <c r="B10" s="241"/>
      <c r="C10" s="292"/>
      <c r="D10" s="288"/>
      <c r="E10" s="288"/>
      <c r="F10" s="288"/>
      <c r="G10" s="43"/>
      <c r="O10" s="48"/>
      <c r="P10" s="185"/>
      <c r="Q10" s="185"/>
      <c r="R10" s="185"/>
      <c r="S10" s="198"/>
    </row>
    <row r="11" spans="1:19" x14ac:dyDescent="0.2">
      <c r="A11" s="103"/>
      <c r="B11" s="104" t="s">
        <v>93</v>
      </c>
      <c r="C11" s="105" t="s">
        <v>94</v>
      </c>
      <c r="D11" s="106"/>
      <c r="E11" s="106"/>
      <c r="F11" s="107"/>
      <c r="G11" s="49"/>
    </row>
    <row r="12" spans="1:19" ht="64.5" customHeight="1" x14ac:dyDescent="0.2">
      <c r="A12" s="242" t="s">
        <v>95</v>
      </c>
      <c r="B12" s="293"/>
      <c r="C12" s="281" t="s">
        <v>96</v>
      </c>
      <c r="D12" s="282"/>
      <c r="E12" s="282"/>
      <c r="F12" s="283"/>
      <c r="G12" s="167"/>
      <c r="H12" s="166"/>
      <c r="I12" s="166"/>
    </row>
    <row r="13" spans="1:19" ht="39" customHeight="1" x14ac:dyDescent="0.2">
      <c r="A13" s="241" t="s">
        <v>97</v>
      </c>
      <c r="B13" s="241"/>
      <c r="C13" s="285"/>
      <c r="D13" s="285"/>
      <c r="E13" s="285"/>
      <c r="F13" s="285"/>
      <c r="G13" s="168"/>
      <c r="H13" s="166"/>
      <c r="I13" s="166"/>
    </row>
    <row r="14" spans="1:19" ht="20.25" customHeight="1" x14ac:dyDescent="0.2">
      <c r="A14" s="242" t="s">
        <v>98</v>
      </c>
      <c r="B14" s="293"/>
      <c r="C14" s="314" t="s">
        <v>99</v>
      </c>
      <c r="D14" s="315"/>
      <c r="E14" s="315"/>
      <c r="F14" s="316"/>
      <c r="G14" s="167"/>
      <c r="H14" s="166"/>
      <c r="I14" s="166"/>
    </row>
    <row r="15" spans="1:19" ht="35.25" customHeight="1" x14ac:dyDescent="0.2">
      <c r="A15" s="284" t="s">
        <v>100</v>
      </c>
      <c r="B15" s="284"/>
      <c r="C15" s="285" t="s">
        <v>101</v>
      </c>
      <c r="D15" s="285"/>
      <c r="E15" s="285"/>
      <c r="F15" s="285"/>
      <c r="G15" s="167"/>
      <c r="H15" s="167"/>
      <c r="I15" s="167"/>
      <c r="J15" s="167"/>
      <c r="K15" s="167"/>
      <c r="L15" s="167"/>
      <c r="M15" s="166"/>
      <c r="N15" s="166"/>
      <c r="O15" s="169"/>
      <c r="P15" s="186"/>
      <c r="Q15" s="186"/>
      <c r="R15" s="186"/>
      <c r="S15" s="199"/>
    </row>
    <row r="16" spans="1:19" ht="27.75" customHeight="1" x14ac:dyDescent="0.2">
      <c r="A16" s="284" t="s">
        <v>102</v>
      </c>
      <c r="B16" s="284"/>
      <c r="C16" s="285"/>
      <c r="D16" s="285"/>
      <c r="E16" s="285"/>
      <c r="F16" s="285"/>
      <c r="G16" s="167"/>
      <c r="H16" s="167"/>
      <c r="I16" s="166"/>
      <c r="J16" s="166"/>
      <c r="K16" s="166"/>
      <c r="L16" s="166"/>
      <c r="M16" s="166"/>
      <c r="N16" s="166"/>
      <c r="O16" s="169"/>
      <c r="P16" s="186"/>
      <c r="Q16" s="186"/>
      <c r="R16" s="186"/>
      <c r="S16" s="199"/>
    </row>
    <row r="17" spans="1:19" ht="27.75" customHeight="1" x14ac:dyDescent="0.2">
      <c r="A17" s="277" t="s">
        <v>103</v>
      </c>
      <c r="B17" s="278"/>
      <c r="C17" s="281" t="s">
        <v>104</v>
      </c>
      <c r="D17" s="282"/>
      <c r="E17" s="282"/>
      <c r="F17" s="283"/>
      <c r="G17" s="167"/>
      <c r="H17" s="167"/>
      <c r="I17" s="166"/>
      <c r="J17" s="166"/>
      <c r="K17" s="166"/>
      <c r="L17" s="166"/>
      <c r="M17" s="166"/>
      <c r="N17" s="166"/>
      <c r="O17" s="169"/>
      <c r="P17" s="186"/>
      <c r="Q17" s="186"/>
      <c r="R17" s="186"/>
      <c r="S17" s="199"/>
    </row>
    <row r="18" spans="1:19" ht="27.75" customHeight="1" x14ac:dyDescent="0.2">
      <c r="A18" s="279"/>
      <c r="B18" s="280"/>
      <c r="C18" s="281" t="s">
        <v>105</v>
      </c>
      <c r="D18" s="282"/>
      <c r="E18" s="282"/>
      <c r="F18" s="283"/>
      <c r="G18" s="167"/>
      <c r="H18" s="167"/>
      <c r="I18" s="166"/>
    </row>
    <row r="19" spans="1:19" x14ac:dyDescent="0.2">
      <c r="A19" s="50"/>
      <c r="B19" s="50"/>
      <c r="C19" s="50"/>
      <c r="D19" s="50"/>
      <c r="E19" s="50"/>
      <c r="F19" s="50"/>
      <c r="G19" s="50"/>
    </row>
    <row r="20" spans="1:19" ht="52.5" customHeight="1" x14ac:dyDescent="0.2">
      <c r="A20" s="317" t="s">
        <v>106</v>
      </c>
      <c r="B20" s="318"/>
      <c r="C20" s="318"/>
      <c r="D20" s="318"/>
      <c r="E20" s="318"/>
      <c r="F20" s="318"/>
      <c r="G20" s="318"/>
      <c r="H20" s="318"/>
      <c r="I20" s="318"/>
    </row>
    <row r="21" spans="1:19" s="45" customFormat="1" ht="33.75" customHeight="1" x14ac:dyDescent="0.2">
      <c r="A21" s="294"/>
      <c r="B21" s="295"/>
      <c r="C21" s="175" t="s">
        <v>107</v>
      </c>
      <c r="D21" s="135" t="s">
        <v>108</v>
      </c>
      <c r="E21" s="135" t="s">
        <v>109</v>
      </c>
      <c r="F21" s="52" t="s">
        <v>110</v>
      </c>
      <c r="G21" s="52" t="s">
        <v>111</v>
      </c>
      <c r="H21" s="52" t="s">
        <v>112</v>
      </c>
      <c r="I21" s="52" t="s">
        <v>113</v>
      </c>
      <c r="J21"/>
      <c r="K21"/>
      <c r="L21"/>
      <c r="M21"/>
      <c r="N21"/>
      <c r="O21" s="44"/>
      <c r="P21" s="184"/>
      <c r="Q21" s="184"/>
      <c r="R21" s="187"/>
      <c r="S21" s="200"/>
    </row>
    <row r="22" spans="1:19" s="45" customFormat="1" ht="33.75" customHeight="1" x14ac:dyDescent="0.2">
      <c r="A22" s="289" t="s">
        <v>114</v>
      </c>
      <c r="B22" s="290"/>
      <c r="C22" s="111">
        <f>D126+E126+F126</f>
        <v>6368388.0499999998</v>
      </c>
      <c r="D22" s="111">
        <f>G126+H126+I126+J126+K126+O126+P126+Q126+R126</f>
        <v>6220380.2200000007</v>
      </c>
      <c r="E22" s="111">
        <f>C126+D126+E126+F126+G126+H126+I126+J126+K126+O126+P126+Q126+R126</f>
        <v>9729680.209999999</v>
      </c>
      <c r="F22" s="111">
        <f>G126+H126+I126+J126+K126</f>
        <v>3160599.74</v>
      </c>
      <c r="G22" s="111">
        <f>L126+N126</f>
        <v>6258310</v>
      </c>
      <c r="H22" s="111">
        <f>O126+P126+Q126+R126</f>
        <v>3059780.48</v>
      </c>
      <c r="I22" s="111">
        <f>T126</f>
        <v>-5519157.6100000003</v>
      </c>
      <c r="J22"/>
      <c r="K22"/>
      <c r="L22"/>
      <c r="M22"/>
      <c r="N22"/>
      <c r="O22" s="44"/>
      <c r="P22" s="184"/>
      <c r="Q22" s="184"/>
      <c r="R22" s="187"/>
      <c r="S22" s="200"/>
    </row>
    <row r="23" spans="1:19" ht="33.75" customHeight="1" x14ac:dyDescent="0.2">
      <c r="A23" s="312" t="s">
        <v>115</v>
      </c>
      <c r="B23" s="313"/>
      <c r="C23" s="122">
        <f t="shared" ref="C23:I23" si="0">C22/$C$6</f>
        <v>552.37991586434202</v>
      </c>
      <c r="D23" s="112">
        <f t="shared" si="0"/>
        <v>539.54204354237152</v>
      </c>
      <c r="E23" s="112">
        <f t="shared" si="0"/>
        <v>843.9309749327781</v>
      </c>
      <c r="F23" s="122">
        <f t="shared" si="0"/>
        <v>274.14344175557289</v>
      </c>
      <c r="G23" s="122">
        <f t="shared" si="0"/>
        <v>542.83198889756272</v>
      </c>
      <c r="H23" s="122">
        <f t="shared" si="0"/>
        <v>265.39860178679851</v>
      </c>
      <c r="I23" s="122">
        <f t="shared" si="0"/>
        <v>-478.71954289183799</v>
      </c>
    </row>
    <row r="24" spans="1:19" ht="33.75" customHeight="1" x14ac:dyDescent="0.2">
      <c r="A24" s="289" t="s">
        <v>116</v>
      </c>
      <c r="B24" s="290"/>
      <c r="C24" s="296" t="s">
        <v>117</v>
      </c>
      <c r="D24" s="297"/>
      <c r="E24" s="298"/>
      <c r="F24" s="299"/>
      <c r="G24" s="300"/>
      <c r="H24" s="300"/>
      <c r="I24" s="301"/>
    </row>
    <row r="25" spans="1:19" ht="33.75" customHeight="1" x14ac:dyDescent="0.2">
      <c r="A25" s="289" t="s">
        <v>118</v>
      </c>
      <c r="B25" s="290"/>
      <c r="C25" s="136" t="str">
        <f>VLOOKUP($C$24,'WLC benchmarks'!$B$10:$E$13,2, TRUE)</f>
        <v>&lt;850</v>
      </c>
      <c r="D25" s="136" t="str">
        <f>VLOOKUP($C$24,'WLC benchmarks'!$B$10:$E$13,3, TRUE)</f>
        <v>&lt;350</v>
      </c>
      <c r="E25" s="136" t="str">
        <f>VLOOKUP($C$24,'WLC benchmarks'!$B$10:$E$13,4, TRUE)</f>
        <v>&lt;1200</v>
      </c>
      <c r="F25" s="302"/>
      <c r="G25" s="303"/>
      <c r="H25" s="303"/>
      <c r="I25" s="304"/>
      <c r="J25" s="166"/>
      <c r="K25" s="167"/>
    </row>
    <row r="26" spans="1:19" ht="33.75" customHeight="1" x14ac:dyDescent="0.2">
      <c r="A26" s="289" t="s">
        <v>119</v>
      </c>
      <c r="B26" s="290"/>
      <c r="C26" s="136" t="str">
        <f>VLOOKUP($C$24,'WLC benchmarks'!$B$16:$E$19,2, TRUE)</f>
        <v>&lt;500</v>
      </c>
      <c r="D26" s="136" t="str">
        <f>VLOOKUP($C$24,'WLC benchmarks'!$B$16:$E$19,3, TRUE)</f>
        <v>&lt;300</v>
      </c>
      <c r="E26" s="136" t="str">
        <f>VLOOKUP($C$24,'WLC benchmarks'!$B$16:$E$19,4, TRUE)</f>
        <v>&lt;800</v>
      </c>
      <c r="F26" s="305"/>
      <c r="G26" s="306"/>
      <c r="H26" s="306"/>
      <c r="I26" s="307"/>
    </row>
    <row r="27" spans="1:19" ht="69" customHeight="1" x14ac:dyDescent="0.2">
      <c r="A27" s="289" t="s">
        <v>120</v>
      </c>
      <c r="B27" s="290"/>
      <c r="C27" s="285" t="s">
        <v>121</v>
      </c>
      <c r="D27" s="285"/>
      <c r="E27" s="285"/>
      <c r="F27" s="285"/>
      <c r="G27" s="285"/>
      <c r="H27" s="285"/>
      <c r="I27" s="285"/>
    </row>
    <row r="28" spans="1:19" ht="15.75" customHeight="1" x14ac:dyDescent="0.2">
      <c r="A28" s="54"/>
      <c r="B28" s="54"/>
      <c r="C28" s="44"/>
      <c r="D28" s="44"/>
      <c r="E28" s="44"/>
      <c r="F28" s="44"/>
      <c r="G28" s="50"/>
    </row>
    <row r="29" spans="1:19" ht="15.75" customHeight="1" x14ac:dyDescent="0.2">
      <c r="A29" s="291" t="s">
        <v>122</v>
      </c>
      <c r="B29" s="291"/>
      <c r="C29" s="291"/>
      <c r="D29" s="291"/>
      <c r="E29" s="291"/>
      <c r="F29" s="291"/>
      <c r="G29" s="166"/>
    </row>
    <row r="30" spans="1:19" ht="27.75" customHeight="1" x14ac:dyDescent="0.2">
      <c r="A30" s="364" t="s">
        <v>50</v>
      </c>
      <c r="B30" s="364"/>
      <c r="C30" s="365" t="s">
        <v>123</v>
      </c>
      <c r="D30" s="366"/>
      <c r="E30" s="366"/>
      <c r="F30" s="367"/>
      <c r="G30" s="50"/>
    </row>
    <row r="31" spans="1:19" ht="27" customHeight="1" x14ac:dyDescent="0.2">
      <c r="A31" s="284" t="s">
        <v>124</v>
      </c>
      <c r="B31" s="284"/>
      <c r="C31" s="288" t="s">
        <v>53</v>
      </c>
      <c r="D31" s="288"/>
      <c r="E31" s="288"/>
      <c r="F31" s="288"/>
      <c r="G31" s="50"/>
    </row>
    <row r="32" spans="1:19" ht="27" customHeight="1" x14ac:dyDescent="0.2">
      <c r="A32" s="284" t="s">
        <v>54</v>
      </c>
      <c r="B32" s="284"/>
      <c r="C32" s="288" t="s">
        <v>55</v>
      </c>
      <c r="D32" s="288"/>
      <c r="E32" s="288"/>
      <c r="F32" s="288"/>
      <c r="G32" s="50"/>
    </row>
    <row r="33" spans="1:48" ht="15.75" customHeight="1" x14ac:dyDescent="0.2">
      <c r="A33" s="54"/>
      <c r="B33" s="54"/>
      <c r="C33" s="44"/>
      <c r="D33" s="44"/>
      <c r="E33" s="44"/>
      <c r="F33" s="44"/>
      <c r="G33" s="50"/>
    </row>
    <row r="34" spans="1:48" ht="33" customHeight="1" x14ac:dyDescent="0.2">
      <c r="A34" s="318" t="s">
        <v>125</v>
      </c>
      <c r="B34" s="362"/>
      <c r="C34" s="287" t="s">
        <v>126</v>
      </c>
      <c r="D34" s="287"/>
      <c r="E34" s="287"/>
      <c r="F34" s="57" t="s">
        <v>127</v>
      </c>
      <c r="G34" s="50"/>
      <c r="H34" s="55"/>
      <c r="I34" s="55"/>
      <c r="J34" s="53"/>
      <c r="K34" s="53"/>
      <c r="L34" s="53"/>
      <c r="M34" s="53"/>
      <c r="N34" s="56"/>
      <c r="O34" s="53"/>
      <c r="P34" s="188"/>
      <c r="Q34" s="188"/>
    </row>
    <row r="35" spans="1:48" ht="24.75" customHeight="1" x14ac:dyDescent="0.2">
      <c r="A35" s="318"/>
      <c r="B35" s="362"/>
      <c r="C35" s="285" t="s">
        <v>128</v>
      </c>
      <c r="D35" s="285"/>
      <c r="E35" s="285"/>
      <c r="F35" s="38"/>
      <c r="G35" s="50"/>
      <c r="H35" s="55"/>
      <c r="I35" s="55"/>
      <c r="J35" s="58"/>
      <c r="K35" s="58"/>
      <c r="L35" s="58"/>
      <c r="M35" s="58"/>
      <c r="N35" s="56"/>
      <c r="O35" s="53"/>
      <c r="P35" s="188"/>
      <c r="Q35" s="188"/>
    </row>
    <row r="36" spans="1:48" ht="12.75" customHeight="1" x14ac:dyDescent="0.2">
      <c r="A36" s="318"/>
      <c r="B36" s="362"/>
      <c r="C36" s="286"/>
      <c r="D36" s="286"/>
      <c r="E36" s="286"/>
      <c r="F36" s="38"/>
      <c r="G36" s="50"/>
      <c r="H36" s="55"/>
      <c r="I36" s="55"/>
      <c r="J36" s="53"/>
      <c r="K36" s="53"/>
      <c r="L36" s="53"/>
      <c r="M36" s="53"/>
      <c r="N36" s="56"/>
      <c r="O36" s="53"/>
      <c r="P36" s="188"/>
      <c r="Q36" s="188"/>
    </row>
    <row r="37" spans="1:48" ht="12.75" customHeight="1" x14ac:dyDescent="0.2">
      <c r="A37" s="318"/>
      <c r="B37" s="362"/>
      <c r="C37" s="286"/>
      <c r="D37" s="286"/>
      <c r="E37" s="286"/>
      <c r="F37" s="38"/>
      <c r="G37" s="50"/>
      <c r="H37" s="55"/>
      <c r="I37" s="55"/>
      <c r="J37" s="53"/>
      <c r="K37" s="53"/>
      <c r="L37" s="53"/>
      <c r="M37" s="53"/>
      <c r="N37" s="56"/>
      <c r="O37" s="53"/>
      <c r="P37" s="188"/>
      <c r="Q37" s="188"/>
    </row>
    <row r="38" spans="1:48" s="45" customFormat="1" x14ac:dyDescent="0.2">
      <c r="A38" s="395"/>
      <c r="B38" s="396"/>
      <c r="C38" s="288"/>
      <c r="D38" s="288"/>
      <c r="E38" s="288"/>
      <c r="F38" s="38"/>
      <c r="G38" s="50"/>
      <c r="H38" s="55"/>
      <c r="I38" s="55"/>
      <c r="J38" s="58"/>
      <c r="K38" s="58"/>
      <c r="L38" s="58"/>
      <c r="M38" s="58"/>
      <c r="N38" s="56"/>
      <c r="O38" s="53"/>
      <c r="P38" s="188"/>
      <c r="Q38" s="188"/>
      <c r="R38" s="187"/>
      <c r="S38" s="200"/>
    </row>
    <row r="39" spans="1:48" s="62" customFormat="1" x14ac:dyDescent="0.2">
      <c r="A39" s="59"/>
      <c r="B39" s="59"/>
      <c r="C39" s="60"/>
      <c r="D39" s="60"/>
      <c r="E39" s="60"/>
      <c r="F39" s="61"/>
      <c r="G39" s="50"/>
      <c r="O39" s="60"/>
      <c r="P39" s="189"/>
      <c r="Q39" s="189"/>
      <c r="R39" s="189"/>
      <c r="S39" s="201"/>
    </row>
    <row r="40" spans="1:48" s="45" customFormat="1" ht="27.75" x14ac:dyDescent="0.2">
      <c r="A40" s="318" t="s">
        <v>129</v>
      </c>
      <c r="B40" s="362"/>
      <c r="C40" s="287" t="s">
        <v>130</v>
      </c>
      <c r="D40" s="287"/>
      <c r="E40" s="287"/>
      <c r="F40" s="57" t="s">
        <v>131</v>
      </c>
      <c r="G40" s="50"/>
      <c r="O40" s="47"/>
      <c r="P40" s="187"/>
      <c r="Q40" s="187"/>
      <c r="R40" s="187"/>
      <c r="S40" s="200"/>
    </row>
    <row r="41" spans="1:48" s="45" customFormat="1" ht="12.75" customHeight="1" x14ac:dyDescent="0.2">
      <c r="A41" s="318"/>
      <c r="B41" s="362"/>
      <c r="C41" s="288" t="s">
        <v>132</v>
      </c>
      <c r="D41" s="288"/>
      <c r="E41" s="288"/>
      <c r="F41" s="12"/>
      <c r="G41" s="50"/>
      <c r="O41" s="47"/>
      <c r="P41" s="187"/>
      <c r="Q41" s="187"/>
      <c r="R41" s="187"/>
      <c r="S41" s="200"/>
    </row>
    <row r="42" spans="1:48" x14ac:dyDescent="0.2">
      <c r="A42" s="318"/>
      <c r="B42" s="362"/>
      <c r="C42" s="286"/>
      <c r="D42" s="286"/>
      <c r="E42" s="286"/>
      <c r="F42" s="12"/>
    </row>
    <row r="43" spans="1:48" x14ac:dyDescent="0.2">
      <c r="A43" s="318"/>
      <c r="B43" s="362"/>
      <c r="C43" s="398"/>
      <c r="D43" s="399"/>
      <c r="E43" s="400"/>
      <c r="F43" s="12"/>
      <c r="J43" s="45"/>
      <c r="K43" s="45"/>
      <c r="L43" s="45"/>
    </row>
    <row r="44" spans="1:48" x14ac:dyDescent="0.2">
      <c r="A44" s="318"/>
      <c r="B44" s="362"/>
      <c r="C44" s="398"/>
      <c r="D44" s="399"/>
      <c r="E44" s="400"/>
      <c r="F44" s="12"/>
      <c r="J44" s="45"/>
      <c r="K44" s="45"/>
      <c r="L44" s="45"/>
    </row>
    <row r="45" spans="1:48" x14ac:dyDescent="0.2">
      <c r="B45" s="388"/>
      <c r="C45" s="388"/>
      <c r="D45" s="388"/>
      <c r="E45" s="388"/>
      <c r="F45" s="388"/>
    </row>
    <row r="46" spans="1:48" s="51" customFormat="1" x14ac:dyDescent="0.2">
      <c r="A46"/>
      <c r="B46" s="235"/>
      <c r="C46" s="235"/>
      <c r="D46" s="235"/>
      <c r="E46" s="235"/>
      <c r="F46" s="235"/>
      <c r="G46"/>
      <c r="H46"/>
      <c r="I46"/>
      <c r="J46"/>
      <c r="K46"/>
      <c r="L46"/>
      <c r="M46" s="166"/>
      <c r="N46"/>
      <c r="O46" s="44"/>
      <c r="P46" s="184"/>
      <c r="Q46" s="184"/>
      <c r="R46" s="184"/>
      <c r="S46" s="190"/>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389" t="s">
        <v>133</v>
      </c>
      <c r="B47" s="389"/>
      <c r="C47" s="255" t="s">
        <v>134</v>
      </c>
      <c r="D47" s="397"/>
      <c r="E47" s="259" t="s">
        <v>135</v>
      </c>
      <c r="F47" s="408" t="s">
        <v>136</v>
      </c>
      <c r="G47" s="409"/>
      <c r="H47" s="255" t="s">
        <v>137</v>
      </c>
      <c r="I47" s="256"/>
      <c r="J47" s="166"/>
      <c r="K47" s="166"/>
      <c r="L47" s="166"/>
      <c r="M47" s="166"/>
      <c r="N47" s="44"/>
      <c r="O47" s="44"/>
      <c r="P47" s="184"/>
      <c r="Q47" s="184"/>
      <c r="R47" s="190"/>
      <c r="S47" s="190"/>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257" t="s">
        <v>138</v>
      </c>
      <c r="B48" s="258"/>
      <c r="C48" s="63" t="s">
        <v>139</v>
      </c>
      <c r="D48" s="63" t="s">
        <v>140</v>
      </c>
      <c r="E48" s="260"/>
      <c r="F48" s="410"/>
      <c r="G48" s="411"/>
      <c r="H48" s="63" t="s">
        <v>141</v>
      </c>
      <c r="I48" s="63" t="s">
        <v>142</v>
      </c>
      <c r="J48"/>
      <c r="K48"/>
      <c r="L48"/>
      <c r="M48"/>
      <c r="N48" s="44"/>
      <c r="O48" s="44"/>
      <c r="P48" s="184"/>
      <c r="Q48" s="184"/>
      <c r="R48" s="190"/>
      <c r="S48" s="190"/>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401" t="s">
        <v>143</v>
      </c>
      <c r="B49" s="402"/>
      <c r="C49" s="64" t="s">
        <v>144</v>
      </c>
      <c r="D49" s="65" t="s">
        <v>145</v>
      </c>
      <c r="E49" s="405" t="s">
        <v>146</v>
      </c>
      <c r="F49" s="390" t="s">
        <v>147</v>
      </c>
      <c r="G49" s="391"/>
      <c r="H49" s="65" t="s">
        <v>148</v>
      </c>
      <c r="I49" s="65" t="s">
        <v>149</v>
      </c>
      <c r="J49"/>
      <c r="K49"/>
      <c r="L49"/>
      <c r="M49"/>
      <c r="N49" s="44"/>
      <c r="O49" s="44"/>
      <c r="P49" s="184"/>
      <c r="Q49" s="184"/>
      <c r="R49" s="190"/>
      <c r="S49" s="190"/>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403"/>
      <c r="B50" s="404"/>
      <c r="C50" s="66" t="s">
        <v>150</v>
      </c>
      <c r="D50" s="65" t="s">
        <v>151</v>
      </c>
      <c r="E50" s="406"/>
      <c r="F50" s="261"/>
      <c r="G50" s="392"/>
      <c r="H50" s="65" t="s">
        <v>152</v>
      </c>
      <c r="I50" s="65" t="s">
        <v>153</v>
      </c>
      <c r="J50"/>
      <c r="K50"/>
      <c r="L50"/>
      <c r="M50"/>
      <c r="N50" s="44"/>
      <c r="O50" s="44"/>
      <c r="P50" s="184"/>
      <c r="Q50" s="184"/>
      <c r="R50" s="190"/>
      <c r="S50" s="19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403"/>
      <c r="B51" s="404"/>
      <c r="C51" s="66" t="s">
        <v>154</v>
      </c>
      <c r="D51" s="67" t="s">
        <v>155</v>
      </c>
      <c r="E51" s="407"/>
      <c r="F51" s="393"/>
      <c r="G51" s="394"/>
      <c r="H51" s="67" t="s">
        <v>148</v>
      </c>
      <c r="I51" s="67" t="s">
        <v>148</v>
      </c>
      <c r="K51"/>
      <c r="L51"/>
      <c r="M51"/>
      <c r="N51" s="44"/>
      <c r="O51" s="44"/>
      <c r="P51" s="184"/>
      <c r="Q51" s="184"/>
      <c r="R51" s="190"/>
      <c r="S51" s="190"/>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269"/>
      <c r="F52" s="265"/>
      <c r="G52" s="266"/>
      <c r="H52" s="11"/>
      <c r="I52" s="11"/>
      <c r="J52" s="263" t="s">
        <v>157</v>
      </c>
      <c r="K52" s="264"/>
      <c r="L52" s="264"/>
      <c r="M52"/>
      <c r="N52" s="44"/>
      <c r="O52" s="44"/>
      <c r="P52" s="184"/>
      <c r="Q52" s="184"/>
      <c r="R52" s="190"/>
      <c r="S52" s="190"/>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270"/>
      <c r="F53" s="108"/>
      <c r="G53" s="109"/>
      <c r="H53" s="11"/>
      <c r="I53" s="11"/>
      <c r="J53" s="261"/>
      <c r="K53" s="262"/>
      <c r="L53" s="262"/>
      <c r="M53"/>
      <c r="N53" s="44"/>
      <c r="O53" s="44"/>
      <c r="P53" s="184"/>
      <c r="Q53" s="184"/>
      <c r="R53" s="190"/>
      <c r="S53" s="190"/>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270"/>
      <c r="F54" s="108"/>
      <c r="G54" s="109"/>
      <c r="H54" s="11"/>
      <c r="I54" s="11"/>
      <c r="J54" s="261"/>
      <c r="K54" s="262"/>
      <c r="L54" s="262"/>
      <c r="M54"/>
      <c r="N54" s="44"/>
      <c r="O54" s="44"/>
      <c r="P54" s="184"/>
      <c r="Q54" s="184"/>
      <c r="R54" s="190"/>
      <c r="S54" s="190"/>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271"/>
      <c r="F55" s="265"/>
      <c r="G55" s="266"/>
      <c r="H55" s="11"/>
      <c r="I55" s="11"/>
      <c r="J55" s="261"/>
      <c r="K55" s="262"/>
      <c r="L55" s="262"/>
      <c r="M55"/>
      <c r="N55" s="44"/>
      <c r="O55" s="44"/>
      <c r="P55" s="184"/>
      <c r="Q55" s="184"/>
      <c r="R55" s="190"/>
      <c r="S55" s="190"/>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204" t="s">
        <v>302</v>
      </c>
      <c r="D56" s="10">
        <v>425513.3</v>
      </c>
      <c r="E56" s="9" t="s">
        <v>303</v>
      </c>
      <c r="F56" s="267" t="s">
        <v>304</v>
      </c>
      <c r="G56" s="268"/>
      <c r="H56" s="11">
        <v>0</v>
      </c>
      <c r="I56" s="11">
        <f>D56</f>
        <v>425513.3</v>
      </c>
      <c r="J56" s="261"/>
      <c r="K56" s="262"/>
      <c r="L56" s="262"/>
      <c r="M56"/>
      <c r="N56" s="44"/>
      <c r="O56" s="44"/>
      <c r="P56" s="184"/>
      <c r="Q56" s="184"/>
      <c r="R56" s="190"/>
      <c r="S56" s="190"/>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0"/>
      <c r="B57" s="71"/>
      <c r="C57" s="204" t="s">
        <v>305</v>
      </c>
      <c r="D57" s="10">
        <v>4794624</v>
      </c>
      <c r="E57" s="9" t="s">
        <v>303</v>
      </c>
      <c r="F57" s="267" t="s">
        <v>306</v>
      </c>
      <c r="G57" s="268"/>
      <c r="H57" s="11">
        <v>0</v>
      </c>
      <c r="I57" s="11">
        <f>D57</f>
        <v>4794624</v>
      </c>
      <c r="J57" s="110"/>
      <c r="K57" s="94"/>
      <c r="L57" s="94"/>
      <c r="M57"/>
      <c r="N57" s="44"/>
      <c r="O57" s="44"/>
      <c r="P57" s="184"/>
      <c r="Q57" s="184"/>
      <c r="R57" s="190"/>
      <c r="S57" s="190"/>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c r="B58" s="71"/>
      <c r="C58" s="204" t="s">
        <v>322</v>
      </c>
      <c r="D58" s="10">
        <v>238585.2</v>
      </c>
      <c r="E58" s="9" t="s">
        <v>303</v>
      </c>
      <c r="F58" s="267" t="s">
        <v>306</v>
      </c>
      <c r="G58" s="268"/>
      <c r="H58" s="11">
        <v>0</v>
      </c>
      <c r="I58" s="11">
        <f>D58</f>
        <v>238585.2</v>
      </c>
      <c r="J58" s="110"/>
      <c r="K58" s="94"/>
      <c r="L58" s="94"/>
      <c r="M58"/>
      <c r="N58" s="44"/>
      <c r="O58" s="44"/>
      <c r="P58" s="184"/>
      <c r="Q58" s="184"/>
      <c r="R58" s="190"/>
      <c r="S58" s="190"/>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c r="B59" s="71"/>
      <c r="C59" s="204" t="s">
        <v>314</v>
      </c>
      <c r="D59" s="10">
        <f>90.75*40</f>
        <v>3630</v>
      </c>
      <c r="E59" s="9" t="s">
        <v>303</v>
      </c>
      <c r="F59" s="267" t="s">
        <v>307</v>
      </c>
      <c r="G59" s="268"/>
      <c r="H59" s="11">
        <v>0</v>
      </c>
      <c r="I59" s="11">
        <v>3630</v>
      </c>
      <c r="J59" s="110"/>
      <c r="K59" s="94"/>
      <c r="L59" s="94"/>
      <c r="M59"/>
      <c r="N59" s="44"/>
      <c r="O59" s="44"/>
      <c r="P59" s="184"/>
      <c r="Q59" s="184"/>
      <c r="R59" s="190"/>
      <c r="S59" s="190"/>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c r="B60" s="71"/>
      <c r="C60" s="204" t="s">
        <v>308</v>
      </c>
      <c r="D60" s="10">
        <f>1.98*360</f>
        <v>712.8</v>
      </c>
      <c r="E60" s="9" t="s">
        <v>303</v>
      </c>
      <c r="F60" s="208" t="s">
        <v>309</v>
      </c>
      <c r="G60" s="209"/>
      <c r="H60" s="11">
        <v>0</v>
      </c>
      <c r="I60" s="11">
        <v>0</v>
      </c>
      <c r="J60" s="110"/>
      <c r="K60" s="94"/>
      <c r="L60" s="94"/>
      <c r="M60"/>
      <c r="N60" s="44"/>
      <c r="O60" s="44"/>
      <c r="P60" s="184"/>
      <c r="Q60" s="184"/>
      <c r="R60" s="190"/>
      <c r="S60" s="19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c r="B61" s="71"/>
      <c r="C61" s="204"/>
      <c r="D61" s="10"/>
      <c r="E61" s="9"/>
      <c r="F61" s="208"/>
      <c r="G61" s="209"/>
      <c r="H61" s="11"/>
      <c r="I61" s="11"/>
      <c r="J61" s="110"/>
      <c r="K61" s="94"/>
      <c r="L61" s="94"/>
      <c r="M61"/>
      <c r="N61" s="44"/>
      <c r="O61" s="44"/>
      <c r="P61" s="184"/>
      <c r="Q61" s="184"/>
      <c r="R61" s="190"/>
      <c r="S61" s="190"/>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2.1</v>
      </c>
      <c r="B62" s="71" t="s">
        <v>162</v>
      </c>
      <c r="C62" s="204" t="s">
        <v>310</v>
      </c>
      <c r="D62" s="10">
        <v>259654.5</v>
      </c>
      <c r="E62" s="9" t="s">
        <v>303</v>
      </c>
      <c r="F62" s="267" t="s">
        <v>304</v>
      </c>
      <c r="G62" s="268"/>
      <c r="H62" s="11">
        <v>0</v>
      </c>
      <c r="I62" s="11">
        <f>D62</f>
        <v>259654.5</v>
      </c>
      <c r="J62" s="261"/>
      <c r="K62" s="262"/>
      <c r="L62" s="262"/>
      <c r="M62"/>
      <c r="N62" s="44"/>
      <c r="O62" s="44"/>
      <c r="P62" s="184"/>
      <c r="Q62" s="184"/>
      <c r="R62" s="190"/>
      <c r="S62" s="190"/>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c r="B63" s="71"/>
      <c r="C63" s="204" t="s">
        <v>315</v>
      </c>
      <c r="D63" s="10">
        <v>135781.5</v>
      </c>
      <c r="E63" s="9" t="s">
        <v>303</v>
      </c>
      <c r="F63" s="208" t="s">
        <v>304</v>
      </c>
      <c r="G63" s="209"/>
      <c r="H63" s="11">
        <v>0</v>
      </c>
      <c r="I63" s="11">
        <f>D63</f>
        <v>135781.5</v>
      </c>
      <c r="J63" s="110"/>
      <c r="K63" s="94"/>
      <c r="L63" s="94"/>
      <c r="M63"/>
      <c r="N63" s="44"/>
      <c r="O63" s="44"/>
      <c r="P63" s="184"/>
      <c r="Q63" s="184"/>
      <c r="R63" s="190"/>
      <c r="S63" s="190"/>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c r="B64" s="71"/>
      <c r="C64" s="204" t="s">
        <v>322</v>
      </c>
      <c r="D64" s="10">
        <v>2190221</v>
      </c>
      <c r="E64" s="9" t="s">
        <v>303</v>
      </c>
      <c r="F64" s="208" t="s">
        <v>306</v>
      </c>
      <c r="G64" s="209"/>
      <c r="H64" s="11">
        <v>0</v>
      </c>
      <c r="I64" s="11">
        <f>D64</f>
        <v>2190221</v>
      </c>
      <c r="J64" s="110"/>
      <c r="K64" s="94"/>
      <c r="L64" s="94"/>
      <c r="M64"/>
      <c r="N64" s="44"/>
      <c r="O64" s="44"/>
      <c r="P64" s="184"/>
      <c r="Q64" s="184"/>
      <c r="R64" s="190"/>
      <c r="S64" s="190"/>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c r="B65" s="71"/>
      <c r="C65" s="204"/>
      <c r="D65" s="10"/>
      <c r="E65" s="9"/>
      <c r="F65" s="208"/>
      <c r="G65" s="210"/>
      <c r="H65" s="11"/>
      <c r="I65" s="11"/>
      <c r="J65" s="110"/>
      <c r="K65" s="94"/>
      <c r="L65" s="94"/>
      <c r="M65"/>
      <c r="N65" s="44"/>
      <c r="O65" s="44"/>
      <c r="P65" s="184"/>
      <c r="Q65" s="184"/>
      <c r="R65" s="190"/>
      <c r="S65" s="190"/>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c r="B66" s="71"/>
      <c r="C66" s="204"/>
      <c r="D66" s="10"/>
      <c r="E66" s="9"/>
      <c r="F66" s="208"/>
      <c r="G66" s="209"/>
      <c r="H66" s="11"/>
      <c r="I66" s="11"/>
      <c r="J66" s="110"/>
      <c r="K66" s="94"/>
      <c r="L66" s="94"/>
      <c r="M66"/>
      <c r="N66" s="44"/>
      <c r="O66" s="44"/>
      <c r="P66" s="184"/>
      <c r="Q66" s="184"/>
      <c r="R66" s="190"/>
      <c r="S66" s="190"/>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c r="B67" s="71"/>
      <c r="C67" s="204"/>
      <c r="D67" s="10"/>
      <c r="E67" s="9"/>
      <c r="F67" s="208"/>
      <c r="G67" s="209"/>
      <c r="H67" s="11"/>
      <c r="I67" s="11"/>
      <c r="J67" s="110"/>
      <c r="K67" s="94"/>
      <c r="L67" s="94"/>
      <c r="M67"/>
      <c r="N67" s="44"/>
      <c r="O67" s="44"/>
      <c r="P67" s="184"/>
      <c r="Q67" s="184"/>
      <c r="R67" s="190"/>
      <c r="S67" s="190"/>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2.2000000000000002</v>
      </c>
      <c r="B68" s="71" t="s">
        <v>163</v>
      </c>
      <c r="C68" s="204" t="s">
        <v>316</v>
      </c>
      <c r="D68" s="10">
        <v>1138852.3</v>
      </c>
      <c r="E68" s="9" t="s">
        <v>303</v>
      </c>
      <c r="F68" s="267" t="s">
        <v>317</v>
      </c>
      <c r="G68" s="268"/>
      <c r="H68" s="11">
        <f>D68*0.9</f>
        <v>1024967.0700000001</v>
      </c>
      <c r="I68" s="11">
        <f>D68*0.1</f>
        <v>113885.23000000001</v>
      </c>
      <c r="J68" s="261"/>
      <c r="K68" s="262"/>
      <c r="L68" s="262"/>
      <c r="M68"/>
      <c r="N68" s="44"/>
      <c r="O68" s="44"/>
      <c r="P68" s="184"/>
      <c r="Q68" s="184"/>
      <c r="R68" s="190"/>
      <c r="S68" s="190"/>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c r="B69" s="71"/>
      <c r="C69" s="204" t="s">
        <v>305</v>
      </c>
      <c r="D69" s="10">
        <v>1013136</v>
      </c>
      <c r="E69" s="9" t="s">
        <v>303</v>
      </c>
      <c r="F69" s="208" t="s">
        <v>306</v>
      </c>
      <c r="G69" s="209"/>
      <c r="H69" s="11">
        <v>0</v>
      </c>
      <c r="I69" s="11">
        <f>D69</f>
        <v>1013136</v>
      </c>
      <c r="J69" s="110"/>
      <c r="K69" s="94"/>
      <c r="L69" s="94"/>
      <c r="M69"/>
      <c r="N69" s="44"/>
      <c r="O69" s="44"/>
      <c r="P69" s="184"/>
      <c r="Q69" s="184"/>
      <c r="R69" s="190"/>
      <c r="S69" s="190"/>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c r="B70" s="71"/>
      <c r="C70" s="204" t="s">
        <v>315</v>
      </c>
      <c r="D70" s="10">
        <v>50656.800000000003</v>
      </c>
      <c r="E70" s="9" t="s">
        <v>303</v>
      </c>
      <c r="F70" s="208" t="s">
        <v>304</v>
      </c>
      <c r="G70" s="209"/>
      <c r="H70" s="11">
        <v>0</v>
      </c>
      <c r="I70" s="11">
        <f>D70</f>
        <v>50656.800000000003</v>
      </c>
      <c r="J70" s="110"/>
      <c r="K70" s="94"/>
      <c r="L70" s="94"/>
      <c r="M70"/>
      <c r="N70" s="44"/>
      <c r="O70" s="44"/>
      <c r="P70" s="184"/>
      <c r="Q70" s="184"/>
      <c r="R70" s="190"/>
      <c r="S70" s="19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204" t="s">
        <v>318</v>
      </c>
      <c r="D71" s="10">
        <v>103040</v>
      </c>
      <c r="E71" s="9" t="s">
        <v>303</v>
      </c>
      <c r="F71" s="208" t="s">
        <v>317</v>
      </c>
      <c r="G71" s="209"/>
      <c r="H71" s="11">
        <f>D71*0.9</f>
        <v>92736</v>
      </c>
      <c r="I71" s="11">
        <f>D71*0.1</f>
        <v>10304</v>
      </c>
      <c r="J71" s="110"/>
      <c r="K71" s="94"/>
      <c r="L71" s="94"/>
      <c r="M71"/>
      <c r="N71" s="44"/>
      <c r="O71" s="44"/>
      <c r="P71" s="184"/>
      <c r="Q71" s="184"/>
      <c r="R71" s="190"/>
      <c r="S71" s="190"/>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70"/>
      <c r="B72" s="71"/>
      <c r="C72" s="204" t="s">
        <v>319</v>
      </c>
      <c r="D72" s="10">
        <v>28724.999999999996</v>
      </c>
      <c r="E72" s="9" t="s">
        <v>303</v>
      </c>
      <c r="F72" s="208"/>
      <c r="G72" s="209"/>
      <c r="H72" s="11">
        <v>0</v>
      </c>
      <c r="I72" s="11">
        <v>0</v>
      </c>
      <c r="J72" s="110"/>
      <c r="K72" s="94"/>
      <c r="L72" s="94"/>
      <c r="M72"/>
      <c r="N72" s="44"/>
      <c r="O72" s="44"/>
      <c r="P72" s="184"/>
      <c r="Q72" s="184"/>
      <c r="R72" s="190"/>
      <c r="S72" s="190"/>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c r="B73" s="71"/>
      <c r="C73" s="204" t="s">
        <v>320</v>
      </c>
      <c r="D73" s="10">
        <v>8367</v>
      </c>
      <c r="E73" s="9" t="s">
        <v>303</v>
      </c>
      <c r="F73" s="208" t="s">
        <v>321</v>
      </c>
      <c r="G73" s="209"/>
      <c r="H73" s="11">
        <v>0</v>
      </c>
      <c r="I73" s="11">
        <f>D73</f>
        <v>8367</v>
      </c>
      <c r="J73" s="110"/>
      <c r="K73" s="94"/>
      <c r="L73" s="94"/>
      <c r="M73"/>
      <c r="N73" s="44"/>
      <c r="O73" s="44"/>
      <c r="P73" s="184"/>
      <c r="Q73" s="184"/>
      <c r="R73" s="190"/>
      <c r="S73" s="190"/>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c r="B74" s="71"/>
      <c r="C74" s="211" t="s">
        <v>311</v>
      </c>
      <c r="D74" s="10">
        <v>6264.3</v>
      </c>
      <c r="E74" s="9" t="s">
        <v>303</v>
      </c>
      <c r="F74" s="208" t="s">
        <v>304</v>
      </c>
      <c r="G74" s="209"/>
      <c r="H74" s="11">
        <v>0</v>
      </c>
      <c r="I74" s="11">
        <f>D74</f>
        <v>6264.3</v>
      </c>
      <c r="J74" s="110"/>
      <c r="K74" s="94"/>
      <c r="L74" s="94"/>
      <c r="M74"/>
      <c r="N74" s="44"/>
      <c r="O74" s="44"/>
      <c r="P74" s="184"/>
      <c r="Q74" s="184"/>
      <c r="R74" s="190"/>
      <c r="S74" s="190"/>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c r="B75" s="71"/>
      <c r="C75" s="211" t="s">
        <v>323</v>
      </c>
      <c r="D75" s="10">
        <v>2625.0400000000004</v>
      </c>
      <c r="E75" s="9" t="s">
        <v>303</v>
      </c>
      <c r="F75" s="208"/>
      <c r="G75" s="209"/>
      <c r="H75" s="11"/>
      <c r="I75" s="11"/>
      <c r="J75" s="110"/>
      <c r="K75" s="94"/>
      <c r="L75" s="94"/>
      <c r="M75"/>
      <c r="N75" s="44"/>
      <c r="O75" s="44"/>
      <c r="P75" s="184"/>
      <c r="Q75" s="184"/>
      <c r="R75" s="190"/>
      <c r="S75" s="190"/>
      <c r="T75"/>
      <c r="U75"/>
      <c r="V75"/>
      <c r="W75"/>
      <c r="X75"/>
      <c r="Y75"/>
      <c r="Z75"/>
      <c r="AA75"/>
      <c r="AB75"/>
      <c r="AC75"/>
      <c r="AD75"/>
      <c r="AE75"/>
      <c r="AF75"/>
      <c r="AG75"/>
      <c r="AH75"/>
      <c r="AI75"/>
      <c r="AJ75"/>
      <c r="AK75"/>
      <c r="AL75"/>
      <c r="AM75"/>
      <c r="AN75"/>
      <c r="AO75"/>
      <c r="AP75"/>
      <c r="AQ75"/>
      <c r="AR75"/>
      <c r="AS75"/>
      <c r="AT75"/>
      <c r="AU75"/>
      <c r="AV75"/>
    </row>
    <row r="76" spans="1:48" s="51" customFormat="1" ht="30" customHeight="1" x14ac:dyDescent="0.2">
      <c r="A76" s="70"/>
      <c r="B76" s="71"/>
      <c r="C76" s="211" t="s">
        <v>324</v>
      </c>
      <c r="D76" s="10">
        <v>11216.080000000002</v>
      </c>
      <c r="E76" s="9" t="s">
        <v>326</v>
      </c>
      <c r="F76" s="208"/>
      <c r="G76" s="209"/>
      <c r="H76" s="11"/>
      <c r="I76" s="11"/>
      <c r="J76" s="110"/>
      <c r="K76" s="94"/>
      <c r="L76" s="94"/>
      <c r="M76"/>
      <c r="N76" s="44"/>
      <c r="O76" s="44"/>
      <c r="P76" s="184"/>
      <c r="Q76" s="184"/>
      <c r="R76" s="190"/>
      <c r="S76" s="190"/>
      <c r="T76"/>
      <c r="U76"/>
      <c r="V76"/>
      <c r="W76"/>
      <c r="X76"/>
      <c r="Y76"/>
      <c r="Z76"/>
      <c r="AA76"/>
      <c r="AB76"/>
      <c r="AC76"/>
      <c r="AD76"/>
      <c r="AE76"/>
      <c r="AF76"/>
      <c r="AG76"/>
      <c r="AH76"/>
      <c r="AI76"/>
      <c r="AJ76"/>
      <c r="AK76"/>
      <c r="AL76"/>
      <c r="AM76"/>
      <c r="AN76"/>
      <c r="AO76"/>
      <c r="AP76"/>
      <c r="AQ76"/>
      <c r="AR76"/>
      <c r="AS76"/>
      <c r="AT76"/>
      <c r="AU76"/>
      <c r="AV76"/>
    </row>
    <row r="77" spans="1:48" s="51" customFormat="1" ht="30" customHeight="1" x14ac:dyDescent="0.2">
      <c r="A77" s="70"/>
      <c r="B77" s="71"/>
      <c r="C77" s="211" t="s">
        <v>325</v>
      </c>
      <c r="D77" s="10">
        <v>1789.8</v>
      </c>
      <c r="E77" s="9" t="s">
        <v>303</v>
      </c>
      <c r="F77" s="208" t="s">
        <v>304</v>
      </c>
      <c r="G77" s="109"/>
      <c r="H77" s="11">
        <v>0</v>
      </c>
      <c r="I77" s="11">
        <f>D77</f>
        <v>1789.8</v>
      </c>
      <c r="J77" s="110"/>
      <c r="K77" s="94"/>
      <c r="L77" s="94"/>
      <c r="M77"/>
      <c r="N77" s="44"/>
      <c r="O77" s="44"/>
      <c r="P77" s="184"/>
      <c r="Q77" s="184"/>
      <c r="R77" s="190"/>
      <c r="S77" s="190"/>
      <c r="T77"/>
      <c r="U77"/>
      <c r="V77"/>
      <c r="W77"/>
      <c r="X77"/>
      <c r="Y77"/>
      <c r="Z77"/>
      <c r="AA77"/>
      <c r="AB77"/>
      <c r="AC77"/>
      <c r="AD77"/>
      <c r="AE77"/>
      <c r="AF77"/>
      <c r="AG77"/>
      <c r="AH77"/>
      <c r="AI77"/>
      <c r="AJ77"/>
      <c r="AK77"/>
      <c r="AL77"/>
      <c r="AM77"/>
      <c r="AN77"/>
      <c r="AO77"/>
      <c r="AP77"/>
      <c r="AQ77"/>
      <c r="AR77"/>
      <c r="AS77"/>
      <c r="AT77"/>
      <c r="AU77"/>
      <c r="AV77"/>
    </row>
    <row r="78" spans="1:48" s="51" customFormat="1" ht="30" customHeight="1" x14ac:dyDescent="0.2">
      <c r="A78" s="70">
        <v>2.2999999999999998</v>
      </c>
      <c r="B78" s="71" t="s">
        <v>164</v>
      </c>
      <c r="C78" s="10"/>
      <c r="D78" s="10"/>
      <c r="E78" s="9" t="s">
        <v>303</v>
      </c>
      <c r="F78" s="265"/>
      <c r="G78" s="266"/>
      <c r="H78" s="11"/>
      <c r="I78" s="11"/>
      <c r="J78" s="261"/>
      <c r="K78" s="262"/>
      <c r="L78" s="262"/>
      <c r="M78"/>
      <c r="N78" s="44"/>
      <c r="O78" s="44"/>
      <c r="P78" s="184"/>
      <c r="Q78" s="184"/>
      <c r="R78" s="190"/>
      <c r="S78" s="190"/>
      <c r="T78"/>
      <c r="U78"/>
      <c r="V78"/>
      <c r="W78"/>
      <c r="X78"/>
      <c r="Y78"/>
      <c r="Z78"/>
      <c r="AA78"/>
      <c r="AB78"/>
      <c r="AC78"/>
      <c r="AD78"/>
      <c r="AE78"/>
      <c r="AF78"/>
      <c r="AG78"/>
      <c r="AH78"/>
      <c r="AI78"/>
      <c r="AJ78"/>
      <c r="AK78"/>
      <c r="AL78"/>
      <c r="AM78"/>
      <c r="AN78"/>
      <c r="AO78"/>
      <c r="AP78"/>
      <c r="AQ78"/>
      <c r="AR78"/>
      <c r="AS78"/>
      <c r="AT78"/>
      <c r="AU78"/>
      <c r="AV78"/>
    </row>
    <row r="79" spans="1:48" s="51" customFormat="1" ht="30" customHeight="1" x14ac:dyDescent="0.2">
      <c r="A79" s="70">
        <v>2.4</v>
      </c>
      <c r="B79" s="71" t="s">
        <v>165</v>
      </c>
      <c r="C79" s="10"/>
      <c r="D79" s="10"/>
      <c r="E79" s="9"/>
      <c r="F79" s="265"/>
      <c r="G79" s="266"/>
      <c r="H79" s="11"/>
      <c r="I79" s="11"/>
      <c r="J79" s="261"/>
      <c r="K79" s="262"/>
      <c r="L79" s="262"/>
      <c r="M79"/>
      <c r="N79" s="44"/>
      <c r="O79" s="44"/>
      <c r="P79" s="184"/>
      <c r="Q79" s="184"/>
      <c r="R79" s="190"/>
      <c r="S79" s="190"/>
      <c r="T79"/>
      <c r="U79"/>
      <c r="V79"/>
      <c r="W79"/>
      <c r="X79"/>
      <c r="Y79"/>
      <c r="Z79"/>
      <c r="AA79"/>
      <c r="AB79"/>
      <c r="AC79"/>
      <c r="AD79"/>
      <c r="AE79"/>
      <c r="AF79"/>
      <c r="AG79"/>
      <c r="AH79"/>
      <c r="AI79"/>
      <c r="AJ79"/>
      <c r="AK79"/>
      <c r="AL79"/>
      <c r="AM79"/>
      <c r="AN79"/>
      <c r="AO79"/>
      <c r="AP79"/>
      <c r="AQ79"/>
      <c r="AR79"/>
      <c r="AS79"/>
      <c r="AT79"/>
      <c r="AU79"/>
      <c r="AV79"/>
    </row>
    <row r="80" spans="1:48" s="51" customFormat="1" ht="30" customHeight="1" x14ac:dyDescent="0.2">
      <c r="A80" s="70">
        <v>2.5</v>
      </c>
      <c r="B80" s="71" t="s">
        <v>166</v>
      </c>
      <c r="C80" s="10"/>
      <c r="D80" s="10"/>
      <c r="E80" s="9"/>
      <c r="F80" s="265"/>
      <c r="G80" s="266"/>
      <c r="H80" s="11"/>
      <c r="I80" s="11"/>
      <c r="J80" s="261"/>
      <c r="K80" s="262"/>
      <c r="L80" s="262"/>
      <c r="M80"/>
      <c r="N80" s="44"/>
      <c r="O80" s="44"/>
      <c r="P80" s="184"/>
      <c r="Q80" s="184"/>
      <c r="R80" s="190"/>
      <c r="S80" s="190"/>
      <c r="T80"/>
      <c r="U80"/>
      <c r="V80"/>
      <c r="W80"/>
      <c r="X80"/>
      <c r="Y80"/>
      <c r="Z80"/>
      <c r="AA80"/>
      <c r="AB80"/>
      <c r="AC80"/>
      <c r="AD80"/>
      <c r="AE80"/>
      <c r="AF80"/>
      <c r="AG80"/>
      <c r="AH80"/>
      <c r="AI80"/>
      <c r="AJ80"/>
      <c r="AK80"/>
      <c r="AL80"/>
      <c r="AM80"/>
      <c r="AN80"/>
      <c r="AO80"/>
      <c r="AP80"/>
      <c r="AQ80"/>
      <c r="AR80"/>
      <c r="AS80"/>
      <c r="AT80"/>
      <c r="AU80"/>
      <c r="AV80"/>
    </row>
    <row r="81" spans="1:48" s="51" customFormat="1" ht="30" customHeight="1" x14ac:dyDescent="0.2">
      <c r="A81" s="70">
        <v>2.6</v>
      </c>
      <c r="B81" s="71" t="s">
        <v>167</v>
      </c>
      <c r="C81" s="10"/>
      <c r="D81" s="10"/>
      <c r="E81" s="9"/>
      <c r="F81" s="265"/>
      <c r="G81" s="266"/>
      <c r="H81" s="11"/>
      <c r="I81" s="11"/>
      <c r="J81" s="261"/>
      <c r="K81" s="262"/>
      <c r="L81" s="262"/>
      <c r="M81"/>
      <c r="N81" s="44"/>
      <c r="O81" s="44"/>
      <c r="P81" s="184"/>
      <c r="Q81" s="184"/>
      <c r="R81" s="190"/>
      <c r="S81" s="190"/>
      <c r="T81"/>
      <c r="U81"/>
      <c r="V81"/>
      <c r="W81"/>
      <c r="X81"/>
      <c r="Y81"/>
      <c r="Z81"/>
      <c r="AA81"/>
      <c r="AB81"/>
      <c r="AC81"/>
      <c r="AD81"/>
      <c r="AE81"/>
      <c r="AF81"/>
      <c r="AG81"/>
      <c r="AH81"/>
      <c r="AI81"/>
      <c r="AJ81"/>
      <c r="AK81"/>
      <c r="AL81"/>
      <c r="AM81"/>
      <c r="AN81"/>
      <c r="AO81"/>
      <c r="AP81"/>
      <c r="AQ81"/>
      <c r="AR81"/>
      <c r="AS81"/>
      <c r="AT81"/>
      <c r="AU81"/>
      <c r="AV81"/>
    </row>
    <row r="82" spans="1:48" s="51" customFormat="1" ht="30" customHeight="1" x14ac:dyDescent="0.2">
      <c r="A82" s="70">
        <v>2.7</v>
      </c>
      <c r="B82" s="71" t="s">
        <v>168</v>
      </c>
      <c r="C82" s="10"/>
      <c r="D82" s="10"/>
      <c r="E82" s="9"/>
      <c r="F82" s="265"/>
      <c r="G82" s="266"/>
      <c r="H82" s="11"/>
      <c r="I82" s="11"/>
      <c r="J82" s="261"/>
      <c r="K82" s="262"/>
      <c r="L82" s="262"/>
      <c r="M82"/>
      <c r="N82" s="44"/>
      <c r="O82" s="44"/>
      <c r="P82" s="184"/>
      <c r="Q82" s="184"/>
      <c r="R82" s="190"/>
      <c r="S82" s="190"/>
      <c r="T82"/>
      <c r="U82"/>
      <c r="V82"/>
      <c r="W82"/>
      <c r="X82"/>
      <c r="Y82"/>
      <c r="Z82"/>
      <c r="AA82"/>
      <c r="AB82"/>
      <c r="AC82"/>
      <c r="AD82"/>
      <c r="AE82"/>
      <c r="AF82"/>
      <c r="AG82"/>
      <c r="AH82"/>
      <c r="AI82"/>
      <c r="AJ82"/>
      <c r="AK82"/>
      <c r="AL82"/>
      <c r="AM82"/>
      <c r="AN82"/>
      <c r="AO82"/>
      <c r="AP82"/>
      <c r="AQ82"/>
      <c r="AR82"/>
      <c r="AS82"/>
      <c r="AT82"/>
      <c r="AU82"/>
      <c r="AV82"/>
    </row>
    <row r="83" spans="1:48" s="51" customFormat="1" ht="30" customHeight="1" x14ac:dyDescent="0.2">
      <c r="A83" s="70">
        <v>2.8</v>
      </c>
      <c r="B83" s="71" t="s">
        <v>169</v>
      </c>
      <c r="C83" s="10"/>
      <c r="D83" s="10"/>
      <c r="E83" s="9"/>
      <c r="F83" s="265"/>
      <c r="G83" s="266"/>
      <c r="H83" s="11"/>
      <c r="I83" s="11"/>
      <c r="J83" s="261"/>
      <c r="K83" s="262"/>
      <c r="L83" s="262"/>
      <c r="M83"/>
      <c r="N83" s="44"/>
      <c r="O83" s="44"/>
      <c r="P83" s="184"/>
      <c r="Q83" s="184"/>
      <c r="R83" s="190"/>
      <c r="S83" s="190"/>
      <c r="T83"/>
      <c r="U83"/>
      <c r="V83"/>
      <c r="W83"/>
      <c r="X83"/>
      <c r="Y83"/>
      <c r="Z83"/>
      <c r="AA83"/>
      <c r="AB83"/>
      <c r="AC83"/>
      <c r="AD83"/>
      <c r="AE83"/>
      <c r="AF83"/>
      <c r="AG83"/>
      <c r="AH83"/>
      <c r="AI83"/>
      <c r="AJ83"/>
      <c r="AK83"/>
      <c r="AL83"/>
      <c r="AM83"/>
      <c r="AN83"/>
      <c r="AO83"/>
      <c r="AP83"/>
      <c r="AQ83"/>
      <c r="AR83"/>
      <c r="AS83"/>
      <c r="AT83"/>
      <c r="AU83"/>
      <c r="AV83"/>
    </row>
    <row r="84" spans="1:48" s="51" customFormat="1" ht="30" customHeight="1" x14ac:dyDescent="0.2">
      <c r="A84" s="70">
        <v>3</v>
      </c>
      <c r="B84" s="71" t="s">
        <v>170</v>
      </c>
      <c r="C84" s="10"/>
      <c r="D84" s="10"/>
      <c r="E84" s="9"/>
      <c r="F84" s="108"/>
      <c r="G84" s="109"/>
      <c r="H84" s="11"/>
      <c r="I84" s="11"/>
      <c r="J84" s="261"/>
      <c r="K84" s="262"/>
      <c r="L84" s="262"/>
      <c r="M84"/>
      <c r="N84" s="44"/>
      <c r="O84" s="44"/>
      <c r="P84" s="184"/>
      <c r="Q84" s="184"/>
      <c r="R84" s="190"/>
      <c r="S84" s="190"/>
      <c r="T84"/>
      <c r="U84"/>
      <c r="V84"/>
      <c r="W84"/>
      <c r="X84"/>
      <c r="Y84"/>
      <c r="Z84"/>
      <c r="AA84"/>
      <c r="AB84"/>
      <c r="AC84"/>
      <c r="AD84"/>
      <c r="AE84"/>
      <c r="AF84"/>
      <c r="AG84"/>
      <c r="AH84"/>
      <c r="AI84"/>
      <c r="AJ84"/>
      <c r="AK84"/>
      <c r="AL84"/>
      <c r="AM84"/>
      <c r="AN84"/>
      <c r="AO84"/>
      <c r="AP84"/>
      <c r="AQ84"/>
      <c r="AR84"/>
      <c r="AS84"/>
      <c r="AT84"/>
      <c r="AU84"/>
      <c r="AV84"/>
    </row>
    <row r="85" spans="1:48" s="51" customFormat="1" ht="30" customHeight="1" x14ac:dyDescent="0.2">
      <c r="A85" s="70">
        <v>4</v>
      </c>
      <c r="B85" s="71" t="s">
        <v>171</v>
      </c>
      <c r="C85" s="10"/>
      <c r="D85" s="10"/>
      <c r="E85" s="9"/>
      <c r="F85" s="108"/>
      <c r="G85" s="109"/>
      <c r="H85" s="11"/>
      <c r="I85" s="11"/>
      <c r="J85" s="261"/>
      <c r="K85" s="262"/>
      <c r="L85" s="262"/>
      <c r="M85"/>
      <c r="N85" s="44"/>
      <c r="O85" s="44"/>
      <c r="P85" s="184"/>
      <c r="Q85" s="184"/>
      <c r="R85" s="190"/>
      <c r="S85" s="190"/>
      <c r="T85"/>
      <c r="U85"/>
      <c r="V85"/>
      <c r="W85"/>
      <c r="X85"/>
      <c r="Y85"/>
      <c r="Z85"/>
      <c r="AA85"/>
      <c r="AB85"/>
      <c r="AC85"/>
      <c r="AD85"/>
      <c r="AE85"/>
      <c r="AF85"/>
      <c r="AG85"/>
      <c r="AH85"/>
      <c r="AI85"/>
      <c r="AJ85"/>
      <c r="AK85"/>
      <c r="AL85"/>
      <c r="AM85"/>
      <c r="AN85"/>
      <c r="AO85"/>
      <c r="AP85"/>
      <c r="AQ85"/>
      <c r="AR85"/>
      <c r="AS85"/>
      <c r="AT85"/>
      <c r="AU85"/>
      <c r="AV85"/>
    </row>
    <row r="86" spans="1:48" s="51" customFormat="1" ht="30" customHeight="1" x14ac:dyDescent="0.2">
      <c r="A86" s="70">
        <v>5</v>
      </c>
      <c r="B86" s="71" t="s">
        <v>172</v>
      </c>
      <c r="C86" s="10"/>
      <c r="D86" s="10"/>
      <c r="E86" s="9"/>
      <c r="F86" s="108"/>
      <c r="G86" s="109"/>
      <c r="H86" s="11"/>
      <c r="I86" s="11"/>
      <c r="J86" s="261"/>
      <c r="K86" s="262"/>
      <c r="L86" s="262"/>
      <c r="M86"/>
      <c r="N86" s="44"/>
      <c r="O86" s="44"/>
      <c r="P86" s="184"/>
      <c r="Q86" s="184"/>
      <c r="R86" s="190"/>
      <c r="S86" s="190"/>
      <c r="T86"/>
      <c r="U86"/>
      <c r="V86"/>
      <c r="W86"/>
      <c r="X86"/>
      <c r="Y86"/>
      <c r="Z86"/>
      <c r="AA86"/>
      <c r="AB86"/>
      <c r="AC86"/>
      <c r="AD86"/>
      <c r="AE86"/>
      <c r="AF86"/>
      <c r="AG86"/>
      <c r="AH86"/>
      <c r="AI86"/>
      <c r="AJ86"/>
      <c r="AK86"/>
      <c r="AL86"/>
      <c r="AM86"/>
      <c r="AN86"/>
      <c r="AO86"/>
      <c r="AP86"/>
      <c r="AQ86"/>
      <c r="AR86"/>
      <c r="AS86"/>
      <c r="AT86"/>
      <c r="AU86"/>
      <c r="AV86"/>
    </row>
    <row r="87" spans="1:48" s="51" customFormat="1" ht="30" customHeight="1" x14ac:dyDescent="0.2">
      <c r="A87" s="70"/>
      <c r="B87" s="71"/>
      <c r="C87" s="10"/>
      <c r="D87" s="10"/>
      <c r="E87" s="9"/>
      <c r="F87" s="108"/>
      <c r="G87" s="109"/>
      <c r="H87" s="11"/>
      <c r="I87" s="11"/>
      <c r="J87" s="110"/>
      <c r="K87" s="94"/>
      <c r="L87" s="94"/>
      <c r="M87"/>
      <c r="N87" s="44"/>
      <c r="O87" s="44"/>
      <c r="P87" s="184"/>
      <c r="Q87" s="184"/>
      <c r="R87" s="190"/>
      <c r="S87" s="190"/>
      <c r="T87"/>
      <c r="U87"/>
      <c r="V87"/>
      <c r="W87"/>
      <c r="X87"/>
      <c r="Y87"/>
      <c r="Z87"/>
      <c r="AA87"/>
      <c r="AB87"/>
      <c r="AC87"/>
      <c r="AD87"/>
      <c r="AE87"/>
      <c r="AF87"/>
      <c r="AG87"/>
      <c r="AH87"/>
      <c r="AI87"/>
      <c r="AJ87"/>
      <c r="AK87"/>
      <c r="AL87"/>
      <c r="AM87"/>
      <c r="AN87"/>
      <c r="AO87"/>
      <c r="AP87"/>
      <c r="AQ87"/>
      <c r="AR87"/>
      <c r="AS87"/>
      <c r="AT87"/>
      <c r="AU87"/>
      <c r="AV87"/>
    </row>
    <row r="88" spans="1:48" s="51" customFormat="1" ht="30" customHeight="1" x14ac:dyDescent="0.2">
      <c r="A88" s="70"/>
      <c r="B88" s="71"/>
      <c r="C88" s="10"/>
      <c r="D88" s="10"/>
      <c r="E88" s="9"/>
      <c r="F88" s="108"/>
      <c r="G88" s="109"/>
      <c r="H88" s="11"/>
      <c r="I88" s="11"/>
      <c r="J88" s="110"/>
      <c r="K88" s="94"/>
      <c r="L88" s="94"/>
      <c r="M88"/>
      <c r="N88" s="44"/>
      <c r="O88" s="44"/>
      <c r="P88" s="184"/>
      <c r="Q88" s="184"/>
      <c r="R88" s="190"/>
      <c r="S88" s="190"/>
      <c r="T88"/>
      <c r="U88"/>
      <c r="V88"/>
      <c r="W88"/>
      <c r="X88"/>
      <c r="Y88"/>
      <c r="Z88"/>
      <c r="AA88"/>
      <c r="AB88"/>
      <c r="AC88"/>
      <c r="AD88"/>
      <c r="AE88"/>
      <c r="AF88"/>
      <c r="AG88"/>
      <c r="AH88"/>
      <c r="AI88"/>
      <c r="AJ88"/>
      <c r="AK88"/>
      <c r="AL88"/>
      <c r="AM88"/>
      <c r="AN88"/>
      <c r="AO88"/>
      <c r="AP88"/>
      <c r="AQ88"/>
      <c r="AR88"/>
      <c r="AS88"/>
      <c r="AT88"/>
      <c r="AU88"/>
      <c r="AV88"/>
    </row>
    <row r="89" spans="1:48" s="51" customFormat="1" ht="30" customHeight="1" x14ac:dyDescent="0.2">
      <c r="A89" s="70"/>
      <c r="B89" s="71"/>
      <c r="C89" s="10"/>
      <c r="D89" s="10"/>
      <c r="E89" s="9"/>
      <c r="F89" s="108"/>
      <c r="G89" s="109"/>
      <c r="H89" s="11"/>
      <c r="I89" s="11"/>
      <c r="J89" s="110"/>
      <c r="K89" s="94"/>
      <c r="L89" s="94"/>
      <c r="M89"/>
      <c r="N89" s="44"/>
      <c r="O89" s="44"/>
      <c r="P89" s="184"/>
      <c r="Q89" s="184"/>
      <c r="R89" s="190"/>
      <c r="S89" s="190"/>
      <c r="T89"/>
      <c r="U89"/>
      <c r="V89"/>
      <c r="W89"/>
      <c r="X89"/>
      <c r="Y89"/>
      <c r="Z89"/>
      <c r="AA89"/>
      <c r="AB89"/>
      <c r="AC89"/>
      <c r="AD89"/>
      <c r="AE89"/>
      <c r="AF89"/>
      <c r="AG89"/>
      <c r="AH89"/>
      <c r="AI89"/>
      <c r="AJ89"/>
      <c r="AK89"/>
      <c r="AL89"/>
      <c r="AM89"/>
      <c r="AN89"/>
      <c r="AO89"/>
      <c r="AP89"/>
      <c r="AQ89"/>
      <c r="AR89"/>
      <c r="AS89"/>
      <c r="AT89"/>
      <c r="AU89"/>
      <c r="AV89"/>
    </row>
    <row r="90" spans="1:48" s="51" customFormat="1" ht="30" customHeight="1" x14ac:dyDescent="0.2">
      <c r="A90" s="70">
        <v>6</v>
      </c>
      <c r="B90" s="71" t="s">
        <v>173</v>
      </c>
      <c r="C90" s="10"/>
      <c r="D90" s="10"/>
      <c r="E90" s="9"/>
      <c r="F90" s="108"/>
      <c r="G90" s="109"/>
      <c r="H90" s="11"/>
      <c r="I90" s="11"/>
      <c r="J90" s="261"/>
      <c r="K90" s="262"/>
      <c r="L90" s="262"/>
      <c r="M90"/>
      <c r="N90" s="44"/>
      <c r="O90" s="44"/>
      <c r="P90" s="184"/>
      <c r="Q90" s="184"/>
      <c r="R90" s="190"/>
      <c r="S90" s="190"/>
      <c r="T90"/>
      <c r="U90"/>
      <c r="V90"/>
      <c r="W90"/>
      <c r="X90"/>
      <c r="Y90"/>
      <c r="Z90"/>
      <c r="AA90"/>
      <c r="AB90"/>
      <c r="AC90"/>
      <c r="AD90"/>
      <c r="AE90"/>
      <c r="AF90"/>
      <c r="AG90"/>
      <c r="AH90"/>
      <c r="AI90"/>
      <c r="AJ90"/>
      <c r="AK90"/>
      <c r="AL90"/>
      <c r="AM90"/>
      <c r="AN90"/>
      <c r="AO90"/>
      <c r="AP90"/>
      <c r="AQ90"/>
      <c r="AR90"/>
      <c r="AS90"/>
      <c r="AT90"/>
      <c r="AU90"/>
      <c r="AV90"/>
    </row>
    <row r="91" spans="1:48" s="51" customFormat="1" ht="30" customHeight="1" x14ac:dyDescent="0.2">
      <c r="A91" s="70">
        <v>7</v>
      </c>
      <c r="B91" s="71" t="s">
        <v>174</v>
      </c>
      <c r="C91" s="10"/>
      <c r="D91" s="10"/>
      <c r="E91" s="9"/>
      <c r="F91" s="108"/>
      <c r="G91" s="109"/>
      <c r="H91" s="11"/>
      <c r="I91" s="11"/>
      <c r="J91" s="261"/>
      <c r="K91" s="262"/>
      <c r="L91" s="262"/>
      <c r="M91"/>
      <c r="N91" s="44"/>
      <c r="O91" s="44"/>
      <c r="P91" s="184"/>
      <c r="Q91" s="184"/>
      <c r="R91" s="190"/>
      <c r="S91" s="190"/>
      <c r="T91"/>
      <c r="U91"/>
      <c r="V91"/>
      <c r="W91"/>
      <c r="X91"/>
      <c r="Y91"/>
      <c r="Z91"/>
      <c r="AA91"/>
      <c r="AB91"/>
      <c r="AC91"/>
      <c r="AD91"/>
      <c r="AE91"/>
      <c r="AF91"/>
      <c r="AG91"/>
      <c r="AH91"/>
      <c r="AI91"/>
      <c r="AJ91"/>
      <c r="AK91"/>
      <c r="AL91"/>
      <c r="AM91"/>
      <c r="AN91"/>
      <c r="AO91"/>
      <c r="AP91"/>
      <c r="AQ91"/>
      <c r="AR91"/>
      <c r="AS91"/>
      <c r="AT91"/>
      <c r="AU91"/>
      <c r="AV91"/>
    </row>
    <row r="92" spans="1:48" s="51" customFormat="1" ht="30" customHeight="1" x14ac:dyDescent="0.2">
      <c r="A92" s="70">
        <v>8</v>
      </c>
      <c r="B92" s="71" t="s">
        <v>175</v>
      </c>
      <c r="C92" s="10"/>
      <c r="D92" s="10"/>
      <c r="E92" s="9"/>
      <c r="F92" s="108"/>
      <c r="G92" s="109"/>
      <c r="H92" s="11"/>
      <c r="I92" s="11"/>
      <c r="J92" s="261"/>
      <c r="K92" s="262"/>
      <c r="L92" s="262"/>
      <c r="M92"/>
      <c r="N92" s="44"/>
      <c r="O92" s="44"/>
      <c r="P92" s="184"/>
      <c r="Q92" s="184"/>
      <c r="R92" s="190"/>
      <c r="S92" s="190"/>
      <c r="T92"/>
      <c r="U92"/>
      <c r="V92"/>
      <c r="W92"/>
      <c r="X92"/>
      <c r="Y92"/>
      <c r="Z92"/>
      <c r="AA92"/>
      <c r="AB92"/>
      <c r="AC92"/>
      <c r="AD92"/>
      <c r="AE92"/>
      <c r="AF92"/>
      <c r="AG92"/>
      <c r="AH92"/>
      <c r="AI92"/>
      <c r="AJ92"/>
      <c r="AK92"/>
      <c r="AL92"/>
      <c r="AM92"/>
      <c r="AN92"/>
      <c r="AO92"/>
      <c r="AP92"/>
      <c r="AQ92"/>
      <c r="AR92"/>
      <c r="AS92"/>
      <c r="AT92"/>
      <c r="AU92"/>
      <c r="AV92"/>
    </row>
    <row r="93" spans="1:48" s="51" customFormat="1" ht="30" customHeight="1" x14ac:dyDescent="0.2">
      <c r="A93" s="70"/>
      <c r="B93" s="71"/>
      <c r="C93" s="10"/>
      <c r="D93" s="10"/>
      <c r="E93" s="9"/>
      <c r="F93" s="338"/>
      <c r="G93" s="339"/>
      <c r="H93" s="11"/>
      <c r="I93" s="11"/>
      <c r="J93" s="261"/>
      <c r="K93" s="262"/>
      <c r="L93" s="262"/>
      <c r="M93"/>
      <c r="N93" s="44"/>
      <c r="O93" s="44"/>
      <c r="P93" s="184"/>
      <c r="Q93" s="184"/>
      <c r="R93" s="190"/>
      <c r="S93" s="190"/>
      <c r="T93"/>
      <c r="U93"/>
      <c r="V93"/>
      <c r="W93"/>
      <c r="X93"/>
      <c r="Y93"/>
      <c r="Z93"/>
      <c r="AA93"/>
      <c r="AB93"/>
      <c r="AC93"/>
      <c r="AD93"/>
      <c r="AE93"/>
      <c r="AF93"/>
      <c r="AG93"/>
      <c r="AH93"/>
      <c r="AI93"/>
      <c r="AJ93"/>
      <c r="AK93"/>
      <c r="AL93"/>
      <c r="AM93"/>
      <c r="AN93"/>
      <c r="AO93"/>
      <c r="AP93"/>
      <c r="AQ93"/>
      <c r="AR93"/>
      <c r="AS93"/>
      <c r="AT93"/>
      <c r="AU93"/>
      <c r="AV93"/>
    </row>
    <row r="94" spans="1:48" s="51" customFormat="1" ht="30" customHeight="1" x14ac:dyDescent="0.2">
      <c r="A94" s="358" t="s">
        <v>176</v>
      </c>
      <c r="B94" s="359"/>
      <c r="C94" s="63" t="s">
        <v>177</v>
      </c>
      <c r="D94" s="63" t="s">
        <v>178</v>
      </c>
      <c r="E94" s="159" t="s">
        <v>179</v>
      </c>
      <c r="F94" s="176" t="s">
        <v>180</v>
      </c>
      <c r="G94" s="176" t="s">
        <v>181</v>
      </c>
      <c r="H94" s="360"/>
      <c r="I94" s="360"/>
      <c r="J94" s="261"/>
      <c r="K94" s="262"/>
      <c r="L94" s="262"/>
      <c r="M94"/>
      <c r="N94" s="44"/>
      <c r="O94" s="44"/>
      <c r="P94" s="184"/>
      <c r="Q94" s="184"/>
      <c r="R94" s="190"/>
      <c r="S94" s="190"/>
      <c r="T94"/>
      <c r="U94"/>
      <c r="V94"/>
      <c r="W94"/>
      <c r="X94"/>
      <c r="Y94"/>
      <c r="Z94"/>
      <c r="AA94"/>
      <c r="AB94"/>
      <c r="AC94"/>
      <c r="AD94"/>
      <c r="AE94"/>
      <c r="AF94"/>
      <c r="AG94"/>
      <c r="AH94"/>
      <c r="AI94"/>
      <c r="AJ94"/>
      <c r="AK94"/>
      <c r="AL94"/>
      <c r="AM94"/>
      <c r="AN94"/>
      <c r="AO94"/>
      <c r="AP94"/>
      <c r="AQ94"/>
      <c r="AR94"/>
      <c r="AS94"/>
      <c r="AT94"/>
      <c r="AU94"/>
      <c r="AV94"/>
    </row>
    <row r="95" spans="1:48" s="51" customFormat="1" ht="30" customHeight="1" x14ac:dyDescent="0.2">
      <c r="A95" s="70" t="s">
        <v>182</v>
      </c>
      <c r="B95" s="71" t="s">
        <v>183</v>
      </c>
      <c r="C95" s="9"/>
      <c r="D95" s="9"/>
      <c r="E95" s="9"/>
      <c r="F95" s="156"/>
      <c r="G95" s="156"/>
      <c r="H95" s="380"/>
      <c r="I95" s="381"/>
      <c r="J95" s="263" t="s">
        <v>184</v>
      </c>
      <c r="K95" s="264"/>
      <c r="L95" s="264"/>
      <c r="M95"/>
      <c r="N95" s="44"/>
      <c r="O95" s="44"/>
      <c r="P95" s="184"/>
      <c r="Q95" s="184"/>
      <c r="R95" s="190"/>
      <c r="S95" s="190"/>
      <c r="T95"/>
      <c r="U95"/>
      <c r="V95"/>
      <c r="W95"/>
      <c r="X95"/>
      <c r="Y95"/>
      <c r="Z95"/>
      <c r="AA95"/>
      <c r="AB95"/>
      <c r="AC95"/>
      <c r="AD95"/>
      <c r="AE95"/>
      <c r="AF95"/>
      <c r="AG95"/>
      <c r="AH95"/>
      <c r="AI95"/>
      <c r="AJ95"/>
      <c r="AK95"/>
      <c r="AL95"/>
      <c r="AM95"/>
      <c r="AN95"/>
      <c r="AO95"/>
      <c r="AP95"/>
      <c r="AQ95"/>
      <c r="AR95"/>
      <c r="AS95"/>
      <c r="AT95"/>
      <c r="AU95"/>
      <c r="AV95"/>
    </row>
    <row r="96" spans="1:48" s="51" customFormat="1" ht="30" customHeight="1" x14ac:dyDescent="0.2">
      <c r="A96" s="70" t="s">
        <v>185</v>
      </c>
      <c r="B96" s="71" t="s">
        <v>186</v>
      </c>
      <c r="C96" s="9"/>
      <c r="D96" s="9"/>
      <c r="E96" s="9"/>
      <c r="F96" s="156"/>
      <c r="G96" s="156"/>
      <c r="H96" s="157"/>
      <c r="I96" s="132"/>
      <c r="J96" s="261"/>
      <c r="K96" s="262"/>
      <c r="L96" s="262"/>
      <c r="M96"/>
      <c r="N96" s="44"/>
      <c r="O96" s="44"/>
      <c r="P96" s="184"/>
      <c r="Q96" s="184"/>
      <c r="R96" s="190"/>
      <c r="S96" s="190"/>
      <c r="T96"/>
      <c r="U96"/>
      <c r="V96"/>
      <c r="W96"/>
      <c r="X96"/>
      <c r="Y96"/>
      <c r="Z96"/>
      <c r="AA96"/>
      <c r="AB96"/>
      <c r="AC96"/>
      <c r="AD96"/>
      <c r="AE96"/>
      <c r="AF96"/>
      <c r="AG96"/>
      <c r="AH96"/>
      <c r="AI96"/>
      <c r="AJ96"/>
      <c r="AK96"/>
      <c r="AL96"/>
      <c r="AM96"/>
      <c r="AN96"/>
      <c r="AO96"/>
      <c r="AP96"/>
      <c r="AQ96"/>
      <c r="AR96"/>
      <c r="AS96"/>
      <c r="AT96"/>
      <c r="AU96"/>
      <c r="AV96"/>
    </row>
    <row r="97" spans="1:48" s="51" customFormat="1" ht="30" customHeight="1" x14ac:dyDescent="0.2">
      <c r="A97" s="70" t="s">
        <v>187</v>
      </c>
      <c r="B97" s="71" t="s">
        <v>188</v>
      </c>
      <c r="C97" s="148"/>
      <c r="D97" s="148"/>
      <c r="E97" s="148"/>
      <c r="F97" s="156"/>
      <c r="G97" s="156"/>
      <c r="H97" s="386"/>
      <c r="I97" s="387"/>
      <c r="J97" s="261"/>
      <c r="K97" s="262"/>
      <c r="L97" s="262"/>
      <c r="M97"/>
      <c r="N97" s="44"/>
      <c r="O97" s="44"/>
      <c r="P97" s="184"/>
      <c r="Q97" s="184"/>
      <c r="R97" s="190"/>
      <c r="S97" s="190"/>
      <c r="T97"/>
      <c r="U97"/>
      <c r="V97"/>
      <c r="W97"/>
      <c r="X97"/>
      <c r="Y97"/>
      <c r="Z97"/>
      <c r="AA97"/>
      <c r="AB97"/>
      <c r="AC97"/>
      <c r="AD97"/>
      <c r="AE97"/>
      <c r="AF97"/>
      <c r="AG97"/>
      <c r="AH97"/>
      <c r="AI97"/>
      <c r="AJ97"/>
      <c r="AK97"/>
      <c r="AL97"/>
      <c r="AM97"/>
      <c r="AN97"/>
      <c r="AO97"/>
      <c r="AP97"/>
      <c r="AQ97"/>
      <c r="AR97"/>
      <c r="AS97"/>
      <c r="AT97"/>
      <c r="AU97"/>
      <c r="AV97"/>
    </row>
    <row r="98" spans="1:48" s="51" customFormat="1" ht="29.25" customHeight="1" x14ac:dyDescent="0.2">
      <c r="C98" s="149" t="s">
        <v>189</v>
      </c>
      <c r="D98" s="150">
        <f>SUM(D52:D93)+SUM(D95:D97)</f>
        <v>10413394.620000001</v>
      </c>
      <c r="E98" s="363"/>
      <c r="F98" s="385"/>
      <c r="G98" s="385"/>
      <c r="H98" s="151">
        <f>SUM(H52:H93)</f>
        <v>1117703.07</v>
      </c>
      <c r="I98" s="151">
        <f>SUM(I52:I93)</f>
        <v>9252412.6300000027</v>
      </c>
      <c r="J98"/>
      <c r="K98"/>
      <c r="L98"/>
      <c r="M98"/>
      <c r="N98" s="44"/>
      <c r="O98" s="44"/>
      <c r="P98" s="184"/>
      <c r="Q98" s="184"/>
      <c r="R98" s="190"/>
      <c r="S98" s="190"/>
      <c r="T98"/>
      <c r="U98"/>
      <c r="V98"/>
      <c r="W98"/>
      <c r="X98"/>
      <c r="Y98"/>
      <c r="Z98"/>
      <c r="AA98"/>
      <c r="AB98"/>
      <c r="AC98"/>
      <c r="AD98"/>
      <c r="AE98"/>
      <c r="AF98"/>
      <c r="AG98"/>
      <c r="AH98"/>
      <c r="AI98"/>
      <c r="AJ98"/>
      <c r="AK98"/>
      <c r="AL98"/>
      <c r="AM98"/>
      <c r="AN98"/>
      <c r="AO98"/>
      <c r="AP98"/>
      <c r="AQ98"/>
      <c r="AR98"/>
      <c r="AS98"/>
      <c r="AT98"/>
      <c r="AU98"/>
      <c r="AV98"/>
    </row>
    <row r="99" spans="1:48" s="75" customFormat="1" ht="34.5" customHeight="1" x14ac:dyDescent="0.2">
      <c r="A99" s="54"/>
      <c r="B99" s="54"/>
      <c r="C99" s="152" t="s">
        <v>190</v>
      </c>
      <c r="D99" s="153">
        <f>D98/$C$6</f>
        <v>903.23485297944319</v>
      </c>
      <c r="E99" s="363"/>
      <c r="F99" s="363"/>
      <c r="G99" s="363"/>
      <c r="H99" s="154">
        <f t="shared" ref="H99:I99" si="1">H98/$C$6</f>
        <v>96.947096018735365</v>
      </c>
      <c r="I99" s="154">
        <f t="shared" si="1"/>
        <v>802.53383901465895</v>
      </c>
      <c r="J99" s="355"/>
      <c r="K99" s="355"/>
      <c r="L99" s="355"/>
      <c r="M99"/>
      <c r="N99"/>
      <c r="O99" s="44"/>
      <c r="P99" s="184"/>
      <c r="Q99" s="184"/>
      <c r="R99" s="184"/>
      <c r="S99" s="190"/>
      <c r="T99"/>
      <c r="U99"/>
      <c r="V99"/>
      <c r="W99"/>
      <c r="X99"/>
      <c r="Y99"/>
      <c r="Z99"/>
      <c r="AA99"/>
      <c r="AB99"/>
      <c r="AC99"/>
      <c r="AD99"/>
      <c r="AE99"/>
      <c r="AF99"/>
      <c r="AG99"/>
      <c r="AH99"/>
      <c r="AI99"/>
      <c r="AJ99"/>
      <c r="AK99"/>
      <c r="AL99"/>
      <c r="AM99"/>
      <c r="AN99"/>
      <c r="AO99"/>
      <c r="AP99"/>
      <c r="AQ99"/>
      <c r="AR99"/>
      <c r="AS99"/>
      <c r="AT99"/>
      <c r="AU99"/>
    </row>
    <row r="100" spans="1:48" s="75" customFormat="1" ht="26.25" customHeight="1" x14ac:dyDescent="0.2">
      <c r="A100" s="37"/>
      <c r="B100" s="37"/>
      <c r="C100" s="53"/>
      <c r="D100" s="53"/>
      <c r="E100" s="53"/>
      <c r="F100" s="53"/>
      <c r="G100"/>
      <c r="H100"/>
      <c r="I100"/>
      <c r="J100"/>
      <c r="K100"/>
      <c r="L100"/>
      <c r="M100"/>
      <c r="N100"/>
      <c r="O100" s="44"/>
      <c r="P100" s="184"/>
      <c r="Q100" s="184"/>
      <c r="R100" s="184"/>
      <c r="S100" s="190"/>
      <c r="T100"/>
      <c r="U100"/>
      <c r="V100"/>
      <c r="W100"/>
      <c r="X100"/>
      <c r="Y100"/>
      <c r="Z100"/>
      <c r="AA100"/>
      <c r="AB100"/>
      <c r="AC100"/>
      <c r="AD100"/>
      <c r="AE100"/>
      <c r="AF100"/>
      <c r="AG100"/>
      <c r="AH100"/>
      <c r="AI100"/>
      <c r="AJ100"/>
      <c r="AK100"/>
      <c r="AL100"/>
      <c r="AM100"/>
      <c r="AN100"/>
      <c r="AO100"/>
      <c r="AP100"/>
      <c r="AQ100"/>
      <c r="AR100"/>
      <c r="AS100"/>
      <c r="AT100"/>
      <c r="AU100"/>
    </row>
    <row r="101" spans="1:48" ht="23.25" customHeight="1" x14ac:dyDescent="0.2">
      <c r="A101" s="324" t="s">
        <v>191</v>
      </c>
      <c r="B101" s="325"/>
      <c r="C101" s="330" t="s">
        <v>192</v>
      </c>
      <c r="D101" s="330" t="s">
        <v>193</v>
      </c>
      <c r="E101" s="332" t="s">
        <v>194</v>
      </c>
      <c r="F101" s="333"/>
      <c r="G101" s="336" t="s">
        <v>195</v>
      </c>
      <c r="H101" s="336"/>
      <c r="I101" s="336"/>
      <c r="J101" s="336"/>
      <c r="K101" s="336"/>
      <c r="L101" s="336"/>
      <c r="M101" s="336"/>
      <c r="N101" s="336"/>
      <c r="O101" s="332" t="s">
        <v>196</v>
      </c>
      <c r="P101" s="336"/>
      <c r="Q101" s="336"/>
      <c r="R101" s="333"/>
      <c r="S101" s="382" t="s">
        <v>301</v>
      </c>
      <c r="T101" s="333" t="s">
        <v>198</v>
      </c>
    </row>
    <row r="102" spans="1:48" ht="39.4" customHeight="1" x14ac:dyDescent="0.2">
      <c r="A102" s="326"/>
      <c r="B102" s="327"/>
      <c r="C102" s="356"/>
      <c r="D102" s="331"/>
      <c r="E102" s="334"/>
      <c r="F102" s="335"/>
      <c r="G102" s="337"/>
      <c r="H102" s="337"/>
      <c r="I102" s="337"/>
      <c r="J102" s="337"/>
      <c r="K102" s="337"/>
      <c r="L102" s="337"/>
      <c r="M102" s="337"/>
      <c r="N102" s="337"/>
      <c r="O102" s="334"/>
      <c r="P102" s="337"/>
      <c r="Q102" s="337"/>
      <c r="R102" s="335"/>
      <c r="S102" s="383"/>
      <c r="T102" s="335"/>
    </row>
    <row r="103" spans="1:48" ht="24.75" customHeight="1" x14ac:dyDescent="0.2">
      <c r="A103" s="328"/>
      <c r="B103" s="329"/>
      <c r="C103" s="356"/>
      <c r="D103" s="377" t="s">
        <v>199</v>
      </c>
      <c r="E103" s="378"/>
      <c r="F103" s="379"/>
      <c r="G103" s="377" t="s">
        <v>200</v>
      </c>
      <c r="H103" s="378"/>
      <c r="I103" s="378"/>
      <c r="J103" s="378"/>
      <c r="K103" s="378"/>
      <c r="L103" s="378"/>
      <c r="M103" s="378"/>
      <c r="N103" s="379"/>
      <c r="O103" s="377" t="s">
        <v>201</v>
      </c>
      <c r="P103" s="378"/>
      <c r="Q103" s="378"/>
      <c r="R103" s="379"/>
      <c r="S103" s="383"/>
      <c r="T103" s="333" t="s">
        <v>113</v>
      </c>
    </row>
    <row r="104" spans="1:48" ht="27" customHeight="1" x14ac:dyDescent="0.2">
      <c r="A104" s="76" t="s">
        <v>138</v>
      </c>
      <c r="B104" s="77"/>
      <c r="C104" s="357"/>
      <c r="D104" s="78" t="s">
        <v>202</v>
      </c>
      <c r="E104" s="78" t="s">
        <v>203</v>
      </c>
      <c r="F104" s="78" t="s">
        <v>204</v>
      </c>
      <c r="G104" s="78" t="s">
        <v>205</v>
      </c>
      <c r="H104" s="78" t="s">
        <v>206</v>
      </c>
      <c r="I104" s="78" t="s">
        <v>207</v>
      </c>
      <c r="J104" s="78" t="s">
        <v>208</v>
      </c>
      <c r="K104" s="78" t="s">
        <v>209</v>
      </c>
      <c r="L104" s="377" t="s">
        <v>210</v>
      </c>
      <c r="M104" s="379"/>
      <c r="N104" s="78" t="s">
        <v>211</v>
      </c>
      <c r="O104" s="78" t="s">
        <v>212</v>
      </c>
      <c r="P104" s="191" t="s">
        <v>213</v>
      </c>
      <c r="Q104" s="191" t="s">
        <v>214</v>
      </c>
      <c r="R104" s="191" t="s">
        <v>215</v>
      </c>
      <c r="S104" s="384"/>
      <c r="T104" s="335"/>
    </row>
    <row r="105" spans="1:48" ht="30" customHeight="1" x14ac:dyDescent="0.2">
      <c r="A105" s="79">
        <v>0.1</v>
      </c>
      <c r="B105" s="71" t="s">
        <v>156</v>
      </c>
      <c r="C105" s="340"/>
      <c r="D105" s="341"/>
      <c r="E105" s="341"/>
      <c r="F105" s="341"/>
      <c r="G105" s="341"/>
      <c r="H105" s="341"/>
      <c r="I105" s="341"/>
      <c r="J105" s="341"/>
      <c r="K105" s="341"/>
      <c r="L105" s="341"/>
      <c r="M105" s="341"/>
      <c r="N105" s="342"/>
      <c r="O105" s="21" t="s">
        <v>216</v>
      </c>
      <c r="P105" s="192"/>
      <c r="Q105" s="192"/>
      <c r="R105" s="192"/>
      <c r="S105" s="202">
        <f>SUM(C105:R105)</f>
        <v>0</v>
      </c>
      <c r="T105" s="23"/>
    </row>
    <row r="106" spans="1:48" ht="30" customHeight="1" x14ac:dyDescent="0.2">
      <c r="A106" s="70">
        <v>0.2</v>
      </c>
      <c r="B106" s="71" t="s">
        <v>158</v>
      </c>
      <c r="C106" s="343"/>
      <c r="D106" s="344"/>
      <c r="E106" s="344"/>
      <c r="F106" s="344"/>
      <c r="G106" s="344"/>
      <c r="H106" s="344"/>
      <c r="I106" s="344"/>
      <c r="J106" s="344"/>
      <c r="K106" s="344"/>
      <c r="L106" s="344"/>
      <c r="M106" s="344"/>
      <c r="N106" s="345"/>
      <c r="O106" s="21">
        <v>39423</v>
      </c>
      <c r="P106" s="192" t="s">
        <v>298</v>
      </c>
      <c r="Q106" s="192" t="s">
        <v>298</v>
      </c>
      <c r="R106" s="192" t="s">
        <v>298</v>
      </c>
      <c r="S106" s="202">
        <f t="shared" ref="S106:S123" si="2">SUM(C106:R106)</f>
        <v>39423</v>
      </c>
      <c r="T106" s="23"/>
    </row>
    <row r="107" spans="1:48" ht="30" customHeight="1" x14ac:dyDescent="0.2">
      <c r="A107" s="70">
        <v>0.3</v>
      </c>
      <c r="B107" s="71" t="s">
        <v>159</v>
      </c>
      <c r="C107" s="21"/>
      <c r="D107" s="21"/>
      <c r="E107" s="22"/>
      <c r="F107" s="21"/>
      <c r="G107" s="21"/>
      <c r="H107" s="21"/>
      <c r="I107" s="21"/>
      <c r="J107" s="21"/>
      <c r="K107" s="21"/>
      <c r="L107" s="346"/>
      <c r="M107" s="347"/>
      <c r="N107" s="348"/>
      <c r="O107" s="21" t="s">
        <v>298</v>
      </c>
      <c r="P107" s="192" t="s">
        <v>298</v>
      </c>
      <c r="Q107" s="192" t="s">
        <v>298</v>
      </c>
      <c r="R107" s="192" t="s">
        <v>298</v>
      </c>
      <c r="S107" s="202">
        <f t="shared" si="2"/>
        <v>0</v>
      </c>
      <c r="T107" s="23"/>
    </row>
    <row r="108" spans="1:48" ht="30" customHeight="1" x14ac:dyDescent="0.2">
      <c r="A108" s="70">
        <v>0.4</v>
      </c>
      <c r="B108" s="71" t="s">
        <v>160</v>
      </c>
      <c r="C108" s="21"/>
      <c r="D108" s="21"/>
      <c r="E108" s="22"/>
      <c r="F108" s="21"/>
      <c r="G108" s="21"/>
      <c r="H108" s="21"/>
      <c r="I108" s="21"/>
      <c r="J108" s="21"/>
      <c r="K108" s="21"/>
      <c r="L108" s="349"/>
      <c r="M108" s="350"/>
      <c r="N108" s="351"/>
      <c r="O108" s="21" t="s">
        <v>298</v>
      </c>
      <c r="P108" s="192" t="s">
        <v>298</v>
      </c>
      <c r="Q108" s="192" t="s">
        <v>298</v>
      </c>
      <c r="R108" s="192" t="s">
        <v>298</v>
      </c>
      <c r="S108" s="202">
        <f t="shared" si="2"/>
        <v>0</v>
      </c>
      <c r="T108" s="23"/>
    </row>
    <row r="109" spans="1:48" ht="30" customHeight="1" x14ac:dyDescent="0.2">
      <c r="A109" s="70">
        <v>0.5</v>
      </c>
      <c r="B109" s="71" t="s">
        <v>217</v>
      </c>
      <c r="C109" s="21"/>
      <c r="D109" s="21"/>
      <c r="E109" s="22"/>
      <c r="F109" s="21"/>
      <c r="G109" s="21"/>
      <c r="H109" s="21"/>
      <c r="I109" s="21"/>
      <c r="J109" s="21"/>
      <c r="K109" s="21"/>
      <c r="L109" s="349"/>
      <c r="M109" s="350"/>
      <c r="N109" s="351"/>
      <c r="O109" s="21" t="s">
        <v>298</v>
      </c>
      <c r="P109" s="192" t="s">
        <v>298</v>
      </c>
      <c r="Q109" s="192" t="s">
        <v>298</v>
      </c>
      <c r="R109" s="192" t="s">
        <v>298</v>
      </c>
      <c r="S109" s="202">
        <f t="shared" si="2"/>
        <v>0</v>
      </c>
      <c r="T109" s="23"/>
    </row>
    <row r="110" spans="1:48" ht="30" customHeight="1" x14ac:dyDescent="0.2">
      <c r="A110" s="70">
        <v>1</v>
      </c>
      <c r="B110" s="77" t="s">
        <v>161</v>
      </c>
      <c r="C110" s="21">
        <v>0</v>
      </c>
      <c r="D110" s="21">
        <v>671238.6</v>
      </c>
      <c r="E110" s="22">
        <v>33139.21</v>
      </c>
      <c r="F110" s="21">
        <v>47367.17</v>
      </c>
      <c r="G110" s="21" t="s">
        <v>298</v>
      </c>
      <c r="H110" s="21" t="s">
        <v>298</v>
      </c>
      <c r="I110" s="21">
        <v>0</v>
      </c>
      <c r="J110" s="21" t="s">
        <v>298</v>
      </c>
      <c r="K110" s="21" t="s">
        <v>298</v>
      </c>
      <c r="L110" s="349"/>
      <c r="M110" s="350"/>
      <c r="N110" s="351"/>
      <c r="O110" s="21" t="s">
        <v>298</v>
      </c>
      <c r="P110" s="192">
        <v>29752.19</v>
      </c>
      <c r="Q110" s="192">
        <v>11520.19</v>
      </c>
      <c r="R110" s="192" t="s">
        <v>298</v>
      </c>
      <c r="S110" s="202">
        <f t="shared" si="2"/>
        <v>793017.35999999987</v>
      </c>
      <c r="T110" s="23">
        <v>-127593.32</v>
      </c>
    </row>
    <row r="111" spans="1:48" ht="30" customHeight="1" x14ac:dyDescent="0.2">
      <c r="A111" s="70">
        <v>2.1</v>
      </c>
      <c r="B111" s="71" t="s">
        <v>162</v>
      </c>
      <c r="C111" s="21">
        <v>0</v>
      </c>
      <c r="D111" s="21">
        <v>1182932.8</v>
      </c>
      <c r="E111" s="21">
        <v>21825.13</v>
      </c>
      <c r="F111" s="21">
        <v>44382.57</v>
      </c>
      <c r="G111" s="21" t="s">
        <v>298</v>
      </c>
      <c r="H111" s="21" t="s">
        <v>298</v>
      </c>
      <c r="I111" s="21">
        <v>0</v>
      </c>
      <c r="J111" s="21" t="s">
        <v>298</v>
      </c>
      <c r="K111" s="21" t="s">
        <v>298</v>
      </c>
      <c r="L111" s="349"/>
      <c r="M111" s="350"/>
      <c r="N111" s="351"/>
      <c r="O111" s="21" t="s">
        <v>298</v>
      </c>
      <c r="P111" s="192">
        <v>7660.27</v>
      </c>
      <c r="Q111" s="192">
        <v>485.52</v>
      </c>
      <c r="R111" s="192">
        <v>394.3</v>
      </c>
      <c r="S111" s="202">
        <f t="shared" si="2"/>
        <v>1257680.5900000001</v>
      </c>
      <c r="T111" s="23">
        <v>-1609557.35</v>
      </c>
    </row>
    <row r="112" spans="1:48" ht="30" customHeight="1" x14ac:dyDescent="0.2">
      <c r="A112" s="70">
        <v>2.2000000000000002</v>
      </c>
      <c r="B112" s="71" t="s">
        <v>163</v>
      </c>
      <c r="C112" s="21">
        <v>-2815630.58</v>
      </c>
      <c r="D112" s="21">
        <v>1005314.79</v>
      </c>
      <c r="E112" s="22">
        <v>18672.63</v>
      </c>
      <c r="F112" s="21">
        <v>39240.01</v>
      </c>
      <c r="G112" s="21" t="s">
        <v>298</v>
      </c>
      <c r="H112" s="21" t="s">
        <v>298</v>
      </c>
      <c r="I112" s="21">
        <v>0</v>
      </c>
      <c r="J112" s="21">
        <v>609696.81000000006</v>
      </c>
      <c r="K112" s="21">
        <v>0</v>
      </c>
      <c r="L112" s="349"/>
      <c r="M112" s="350"/>
      <c r="N112" s="351"/>
      <c r="O112" s="21" t="s">
        <v>298</v>
      </c>
      <c r="P112" s="192">
        <v>24572.51</v>
      </c>
      <c r="Q112" s="192">
        <v>2838661.45</v>
      </c>
      <c r="R112" s="192">
        <v>189.91</v>
      </c>
      <c r="S112" s="202">
        <f t="shared" si="2"/>
        <v>1720717.53</v>
      </c>
      <c r="T112" s="23">
        <v>-1359835.1</v>
      </c>
    </row>
    <row r="113" spans="1:20" ht="30" customHeight="1" x14ac:dyDescent="0.2">
      <c r="A113" s="70">
        <v>2.2999999999999998</v>
      </c>
      <c r="B113" s="71" t="s">
        <v>164</v>
      </c>
      <c r="C113" s="21">
        <v>-10282.459999999999</v>
      </c>
      <c r="D113" s="21">
        <v>32983.56</v>
      </c>
      <c r="E113" s="22">
        <v>77.97</v>
      </c>
      <c r="F113" s="21">
        <v>2451.84</v>
      </c>
      <c r="G113" s="21" t="s">
        <v>298</v>
      </c>
      <c r="H113" s="21" t="s">
        <v>298</v>
      </c>
      <c r="I113" s="21">
        <v>0</v>
      </c>
      <c r="J113" s="21">
        <v>19646.900000000001</v>
      </c>
      <c r="K113" s="21">
        <v>0</v>
      </c>
      <c r="L113" s="349"/>
      <c r="M113" s="350"/>
      <c r="N113" s="351"/>
      <c r="O113" s="21" t="s">
        <v>298</v>
      </c>
      <c r="P113" s="192">
        <v>136.58000000000001</v>
      </c>
      <c r="Q113" s="192">
        <v>18061.240000000002</v>
      </c>
      <c r="R113" s="192">
        <v>16.98</v>
      </c>
      <c r="S113" s="202">
        <f t="shared" si="2"/>
        <v>63092.610000000008</v>
      </c>
      <c r="T113" s="23">
        <v>-2195.39</v>
      </c>
    </row>
    <row r="114" spans="1:20" ht="30" customHeight="1" x14ac:dyDescent="0.2">
      <c r="A114" s="70">
        <v>2.4</v>
      </c>
      <c r="B114" s="71" t="s">
        <v>165</v>
      </c>
      <c r="C114" s="21">
        <v>0</v>
      </c>
      <c r="D114" s="21">
        <v>67306.75</v>
      </c>
      <c r="E114" s="22">
        <v>1399.31</v>
      </c>
      <c r="F114" s="21">
        <v>1034.23</v>
      </c>
      <c r="G114" s="21" t="s">
        <v>298</v>
      </c>
      <c r="H114" s="21" t="s">
        <v>298</v>
      </c>
      <c r="I114" s="21">
        <v>0</v>
      </c>
      <c r="J114" s="21">
        <v>90450.83</v>
      </c>
      <c r="K114" s="21">
        <v>0</v>
      </c>
      <c r="L114" s="349"/>
      <c r="M114" s="350"/>
      <c r="N114" s="351"/>
      <c r="O114" s="21" t="s">
        <v>298</v>
      </c>
      <c r="P114" s="192">
        <v>1100.28</v>
      </c>
      <c r="Q114" s="192">
        <v>99.51</v>
      </c>
      <c r="R114" s="192">
        <v>1.43</v>
      </c>
      <c r="S114" s="202">
        <f t="shared" si="2"/>
        <v>161392.34</v>
      </c>
      <c r="T114" s="23">
        <v>-4574.7</v>
      </c>
    </row>
    <row r="115" spans="1:20" ht="30" customHeight="1" x14ac:dyDescent="0.2">
      <c r="A115" s="70">
        <v>2.5</v>
      </c>
      <c r="B115" s="71" t="s">
        <v>166</v>
      </c>
      <c r="C115" s="21">
        <v>0</v>
      </c>
      <c r="D115" s="21">
        <v>152613.35999999999</v>
      </c>
      <c r="E115" s="22">
        <v>1365.19</v>
      </c>
      <c r="F115" s="21">
        <v>10512.18</v>
      </c>
      <c r="G115" s="21" t="s">
        <v>298</v>
      </c>
      <c r="H115" s="21" t="s">
        <v>298</v>
      </c>
      <c r="I115" s="21">
        <v>0</v>
      </c>
      <c r="J115" s="21">
        <v>1293.3</v>
      </c>
      <c r="K115" s="21">
        <v>0</v>
      </c>
      <c r="L115" s="349"/>
      <c r="M115" s="350"/>
      <c r="N115" s="351"/>
      <c r="O115" s="21" t="s">
        <v>298</v>
      </c>
      <c r="P115" s="192">
        <v>3822.92</v>
      </c>
      <c r="Q115" s="192">
        <v>1598.65</v>
      </c>
      <c r="R115" s="192">
        <v>47.32</v>
      </c>
      <c r="S115" s="202">
        <f t="shared" si="2"/>
        <v>171252.91999999998</v>
      </c>
      <c r="T115" s="23">
        <v>-43047.38</v>
      </c>
    </row>
    <row r="116" spans="1:20" ht="30" customHeight="1" x14ac:dyDescent="0.2">
      <c r="A116" s="70">
        <v>2.6</v>
      </c>
      <c r="B116" s="71" t="s">
        <v>167</v>
      </c>
      <c r="C116" s="21">
        <v>0</v>
      </c>
      <c r="D116" s="21">
        <v>182115.6</v>
      </c>
      <c r="E116" s="22">
        <v>130.74</v>
      </c>
      <c r="F116" s="21">
        <v>80.78</v>
      </c>
      <c r="G116" s="21" t="s">
        <v>298</v>
      </c>
      <c r="H116" s="21" t="s">
        <v>298</v>
      </c>
      <c r="I116" s="21">
        <v>0</v>
      </c>
      <c r="J116" s="21">
        <v>807.75</v>
      </c>
      <c r="K116" s="21">
        <v>0</v>
      </c>
      <c r="L116" s="349"/>
      <c r="M116" s="350"/>
      <c r="N116" s="351"/>
      <c r="O116" s="21" t="s">
        <v>298</v>
      </c>
      <c r="P116" s="192">
        <v>2171.6999999999998</v>
      </c>
      <c r="Q116" s="192">
        <v>335.43</v>
      </c>
      <c r="R116" s="192" t="s">
        <v>298</v>
      </c>
      <c r="S116" s="202">
        <f t="shared" si="2"/>
        <v>185642</v>
      </c>
      <c r="T116" s="23">
        <v>-534.63</v>
      </c>
    </row>
    <row r="117" spans="1:20" ht="30" customHeight="1" x14ac:dyDescent="0.2">
      <c r="A117" s="70">
        <v>2.7</v>
      </c>
      <c r="B117" s="71" t="s">
        <v>168</v>
      </c>
      <c r="C117" s="21">
        <v>0</v>
      </c>
      <c r="D117" s="21">
        <v>28990.36</v>
      </c>
      <c r="E117" s="22">
        <v>142.88999999999999</v>
      </c>
      <c r="F117" s="21">
        <v>2816.38</v>
      </c>
      <c r="G117" s="21" t="s">
        <v>298</v>
      </c>
      <c r="H117" s="21" t="s">
        <v>298</v>
      </c>
      <c r="I117" s="21">
        <v>0</v>
      </c>
      <c r="J117" s="21">
        <v>51706.93</v>
      </c>
      <c r="K117" s="21">
        <v>0</v>
      </c>
      <c r="L117" s="349"/>
      <c r="M117" s="350"/>
      <c r="N117" s="351"/>
      <c r="O117" s="21" t="s">
        <v>298</v>
      </c>
      <c r="P117" s="192">
        <v>1188.42</v>
      </c>
      <c r="Q117" s="192">
        <v>7813.03</v>
      </c>
      <c r="R117" s="192" t="s">
        <v>298</v>
      </c>
      <c r="S117" s="202">
        <f t="shared" si="2"/>
        <v>92658.01</v>
      </c>
      <c r="T117" s="23">
        <v>-6992.78</v>
      </c>
    </row>
    <row r="118" spans="1:20" ht="30" customHeight="1" x14ac:dyDescent="0.2">
      <c r="A118" s="70">
        <v>2.8</v>
      </c>
      <c r="B118" s="71" t="s">
        <v>169</v>
      </c>
      <c r="C118" s="21">
        <v>-33175.019999999997</v>
      </c>
      <c r="D118" s="21">
        <v>30541.71</v>
      </c>
      <c r="E118" s="22">
        <v>131.29</v>
      </c>
      <c r="F118" s="21">
        <v>0</v>
      </c>
      <c r="G118" s="21" t="s">
        <v>298</v>
      </c>
      <c r="H118" s="21" t="s">
        <v>298</v>
      </c>
      <c r="I118" s="21">
        <v>0</v>
      </c>
      <c r="J118" s="21">
        <v>31058.97</v>
      </c>
      <c r="K118" s="21">
        <v>0</v>
      </c>
      <c r="L118" s="349"/>
      <c r="M118" s="350"/>
      <c r="N118" s="351"/>
      <c r="O118" s="21" t="s">
        <v>298</v>
      </c>
      <c r="P118" s="192">
        <v>100.99</v>
      </c>
      <c r="Q118" s="192">
        <v>33446.29</v>
      </c>
      <c r="R118" s="192">
        <v>13.71</v>
      </c>
      <c r="S118" s="202">
        <f t="shared" si="2"/>
        <v>62117.94000000001</v>
      </c>
      <c r="T118" s="23" t="s">
        <v>298</v>
      </c>
    </row>
    <row r="119" spans="1:20" ht="30" customHeight="1" x14ac:dyDescent="0.2">
      <c r="A119" s="70">
        <v>3</v>
      </c>
      <c r="B119" s="71" t="s">
        <v>170</v>
      </c>
      <c r="C119" s="21">
        <v>0</v>
      </c>
      <c r="D119" s="21">
        <v>709622.12</v>
      </c>
      <c r="E119" s="22">
        <v>1807.34</v>
      </c>
      <c r="F119" s="21">
        <v>39035.550000000003</v>
      </c>
      <c r="G119" s="21" t="s">
        <v>298</v>
      </c>
      <c r="H119" s="21" t="s">
        <v>298</v>
      </c>
      <c r="I119" s="21">
        <v>0</v>
      </c>
      <c r="J119" s="21">
        <v>835912.73</v>
      </c>
      <c r="K119" s="21">
        <v>0</v>
      </c>
      <c r="L119" s="349"/>
      <c r="M119" s="350"/>
      <c r="N119" s="351"/>
      <c r="O119" s="21" t="s">
        <v>298</v>
      </c>
      <c r="P119" s="192">
        <v>15426.56</v>
      </c>
      <c r="Q119" s="192">
        <v>12218.79</v>
      </c>
      <c r="R119" s="192">
        <v>15.89</v>
      </c>
      <c r="S119" s="202">
        <f t="shared" si="2"/>
        <v>1614038.98</v>
      </c>
      <c r="T119" s="23">
        <v>-1692932.67</v>
      </c>
    </row>
    <row r="120" spans="1:20" ht="30" customHeight="1" x14ac:dyDescent="0.2">
      <c r="A120" s="70">
        <v>4</v>
      </c>
      <c r="B120" s="71" t="s">
        <v>218</v>
      </c>
      <c r="C120" s="21" t="s">
        <v>298</v>
      </c>
      <c r="D120" s="21" t="s">
        <v>298</v>
      </c>
      <c r="E120" s="22" t="s">
        <v>298</v>
      </c>
      <c r="F120" s="21" t="s">
        <v>298</v>
      </c>
      <c r="G120" s="21" t="s">
        <v>298</v>
      </c>
      <c r="H120" s="21" t="s">
        <v>298</v>
      </c>
      <c r="I120" s="21" t="s">
        <v>298</v>
      </c>
      <c r="J120" s="21" t="s">
        <v>298</v>
      </c>
      <c r="K120" s="21" t="s">
        <v>298</v>
      </c>
      <c r="L120" s="352"/>
      <c r="M120" s="353"/>
      <c r="N120" s="354"/>
      <c r="O120" s="21" t="s">
        <v>298</v>
      </c>
      <c r="P120" s="192" t="s">
        <v>298</v>
      </c>
      <c r="Q120" s="192" t="s">
        <v>298</v>
      </c>
      <c r="R120" s="192" t="s">
        <v>298</v>
      </c>
      <c r="S120" s="202">
        <f t="shared" si="2"/>
        <v>0</v>
      </c>
      <c r="T120" s="23" t="s">
        <v>298</v>
      </c>
    </row>
    <row r="121" spans="1:20" ht="30" customHeight="1" x14ac:dyDescent="0.2">
      <c r="A121" s="70">
        <v>5</v>
      </c>
      <c r="B121" s="71" t="s">
        <v>172</v>
      </c>
      <c r="C121" s="21">
        <v>0</v>
      </c>
      <c r="D121" s="21">
        <v>1279480.8400000001</v>
      </c>
      <c r="E121" s="22">
        <v>2014.66</v>
      </c>
      <c r="F121" s="21">
        <v>41296.83</v>
      </c>
      <c r="G121" s="21" t="s">
        <v>298</v>
      </c>
      <c r="H121" s="21" t="s">
        <v>298</v>
      </c>
      <c r="I121" s="21">
        <v>0</v>
      </c>
      <c r="J121" s="21">
        <v>1326950.02</v>
      </c>
      <c r="K121" s="21">
        <v>0</v>
      </c>
      <c r="L121" s="21">
        <v>5085360</v>
      </c>
      <c r="M121" s="21"/>
      <c r="N121" s="21">
        <v>1172950</v>
      </c>
      <c r="O121" s="21" t="s">
        <v>298</v>
      </c>
      <c r="P121" s="192">
        <v>8102.6</v>
      </c>
      <c r="Q121" s="192">
        <v>671.61</v>
      </c>
      <c r="R121" s="192">
        <v>101.13</v>
      </c>
      <c r="S121" s="202">
        <f>SUM(C121:R121)</f>
        <v>8916927.6899999995</v>
      </c>
      <c r="T121" s="23">
        <v>-646398.16</v>
      </c>
    </row>
    <row r="122" spans="1:20" ht="30" customHeight="1" x14ac:dyDescent="0.2">
      <c r="A122" s="70">
        <v>6</v>
      </c>
      <c r="B122" s="71" t="s">
        <v>173</v>
      </c>
      <c r="C122" s="21" t="s">
        <v>298</v>
      </c>
      <c r="D122" s="21" t="s">
        <v>298</v>
      </c>
      <c r="E122" s="22" t="s">
        <v>298</v>
      </c>
      <c r="F122" s="21" t="s">
        <v>298</v>
      </c>
      <c r="G122" s="21" t="s">
        <v>298</v>
      </c>
      <c r="H122" s="21" t="s">
        <v>298</v>
      </c>
      <c r="I122" s="21" t="s">
        <v>298</v>
      </c>
      <c r="J122" s="21" t="s">
        <v>298</v>
      </c>
      <c r="K122" s="21" t="s">
        <v>298</v>
      </c>
      <c r="L122" s="346"/>
      <c r="M122" s="347"/>
      <c r="N122" s="348"/>
      <c r="O122" s="21" t="s">
        <v>298</v>
      </c>
      <c r="P122" s="192" t="s">
        <v>298</v>
      </c>
      <c r="Q122" s="192" t="s">
        <v>298</v>
      </c>
      <c r="R122" s="192" t="s">
        <v>298</v>
      </c>
      <c r="S122" s="202">
        <f t="shared" si="2"/>
        <v>0</v>
      </c>
      <c r="T122" s="23" t="s">
        <v>298</v>
      </c>
    </row>
    <row r="123" spans="1:20" ht="30" customHeight="1" x14ac:dyDescent="0.2">
      <c r="A123" s="70">
        <v>7</v>
      </c>
      <c r="B123" s="71" t="s">
        <v>174</v>
      </c>
      <c r="C123" s="21" t="s">
        <v>298</v>
      </c>
      <c r="D123" s="21" t="s">
        <v>298</v>
      </c>
      <c r="E123" s="22" t="s">
        <v>298</v>
      </c>
      <c r="F123" s="21" t="s">
        <v>298</v>
      </c>
      <c r="G123" s="21" t="s">
        <v>298</v>
      </c>
      <c r="H123" s="21" t="s">
        <v>298</v>
      </c>
      <c r="I123" s="21" t="s">
        <v>298</v>
      </c>
      <c r="J123" s="21" t="s">
        <v>298</v>
      </c>
      <c r="K123" s="21" t="s">
        <v>298</v>
      </c>
      <c r="L123" s="349"/>
      <c r="M123" s="350"/>
      <c r="N123" s="351"/>
      <c r="O123" s="21" t="s">
        <v>298</v>
      </c>
      <c r="P123" s="192" t="s">
        <v>298</v>
      </c>
      <c r="Q123" s="192" t="s">
        <v>298</v>
      </c>
      <c r="R123" s="192" t="s">
        <v>298</v>
      </c>
      <c r="S123" s="202">
        <f t="shared" si="2"/>
        <v>0</v>
      </c>
      <c r="T123" s="23" t="s">
        <v>298</v>
      </c>
    </row>
    <row r="124" spans="1:20" ht="30" customHeight="1" x14ac:dyDescent="0.2">
      <c r="A124" s="70">
        <v>8</v>
      </c>
      <c r="B124" s="71" t="s">
        <v>175</v>
      </c>
      <c r="C124" s="21">
        <v>0</v>
      </c>
      <c r="D124" s="21">
        <v>166194.09</v>
      </c>
      <c r="E124" s="22">
        <v>909.45</v>
      </c>
      <c r="F124" s="21">
        <v>570.12</v>
      </c>
      <c r="G124" s="21" t="s">
        <v>298</v>
      </c>
      <c r="H124" s="21" t="s">
        <v>298</v>
      </c>
      <c r="I124" s="21">
        <v>0</v>
      </c>
      <c r="J124" s="21">
        <v>193075.5</v>
      </c>
      <c r="K124" s="21">
        <v>0</v>
      </c>
      <c r="L124" s="352"/>
      <c r="M124" s="353"/>
      <c r="N124" s="354"/>
      <c r="O124" s="21" t="s">
        <v>298</v>
      </c>
      <c r="P124" s="192">
        <v>571.35</v>
      </c>
      <c r="Q124" s="192">
        <v>57.62</v>
      </c>
      <c r="R124" s="192">
        <v>1.1100000000000001</v>
      </c>
      <c r="S124" s="202">
        <f>SUM(C124:R124)</f>
        <v>361379.24</v>
      </c>
      <c r="T124" s="23">
        <v>-25496.13</v>
      </c>
    </row>
    <row r="125" spans="1:20" ht="30" customHeight="1" x14ac:dyDescent="0.2">
      <c r="A125" s="322" t="s">
        <v>222</v>
      </c>
      <c r="B125" s="323"/>
      <c r="C125" s="319"/>
      <c r="D125" s="320"/>
      <c r="E125" s="321"/>
      <c r="F125" s="24">
        <v>548650</v>
      </c>
      <c r="G125" s="368"/>
      <c r="H125" s="369"/>
      <c r="I125" s="369"/>
      <c r="J125" s="369"/>
      <c r="K125" s="369"/>
      <c r="L125" s="369"/>
      <c r="M125" s="369"/>
      <c r="N125" s="369"/>
      <c r="O125" s="369"/>
      <c r="P125" s="369"/>
      <c r="Q125" s="369"/>
      <c r="R125" s="370"/>
      <c r="S125" s="203">
        <f>F125</f>
        <v>548650</v>
      </c>
      <c r="T125" s="134"/>
    </row>
    <row r="126" spans="1:20" ht="27" customHeight="1" x14ac:dyDescent="0.2">
      <c r="A126" s="312" t="s">
        <v>114</v>
      </c>
      <c r="B126" s="313"/>
      <c r="C126" s="146">
        <f>SUM(C107:C124)</f>
        <v>-2859088.06</v>
      </c>
      <c r="D126" s="146">
        <f t="shared" ref="D126:K126" si="3">SUM(D107:D124)</f>
        <v>5509334.5800000001</v>
      </c>
      <c r="E126" s="147">
        <f t="shared" si="3"/>
        <v>81615.81</v>
      </c>
      <c r="F126" s="146">
        <f>SUM(F107:F125)</f>
        <v>777437.66</v>
      </c>
      <c r="G126" s="146">
        <f t="shared" si="3"/>
        <v>0</v>
      </c>
      <c r="H126" s="146">
        <f t="shared" si="3"/>
        <v>0</v>
      </c>
      <c r="I126" s="146">
        <f>SUM(I107:I124)</f>
        <v>0</v>
      </c>
      <c r="J126" s="146">
        <f t="shared" si="3"/>
        <v>3160599.74</v>
      </c>
      <c r="K126" s="146">
        <f t="shared" si="3"/>
        <v>0</v>
      </c>
      <c r="L126" s="371">
        <f>L121+M121</f>
        <v>5085360</v>
      </c>
      <c r="M126" s="372"/>
      <c r="N126" s="146">
        <f>N121</f>
        <v>1172950</v>
      </c>
      <c r="O126" s="146">
        <f>SUM(O105:O124)</f>
        <v>39423</v>
      </c>
      <c r="P126" s="193">
        <f t="shared" ref="P126:T126" si="4">SUM(P105:P124)</f>
        <v>94606.37000000001</v>
      </c>
      <c r="Q126" s="193">
        <f t="shared" si="4"/>
        <v>2924969.33</v>
      </c>
      <c r="R126" s="193">
        <f t="shared" si="4"/>
        <v>781.78000000000009</v>
      </c>
      <c r="S126" s="193">
        <f>SUM(S105:S125)</f>
        <v>15987990.209999999</v>
      </c>
      <c r="T126" s="146">
        <f t="shared" si="4"/>
        <v>-5519157.6100000003</v>
      </c>
    </row>
    <row r="127" spans="1:20" ht="27" customHeight="1" x14ac:dyDescent="0.2">
      <c r="A127" s="373" t="s">
        <v>115</v>
      </c>
      <c r="B127" s="374"/>
      <c r="C127" s="145">
        <f t="shared" ref="C127:K127" si="5">C126/$C$6</f>
        <v>-247.9909844739353</v>
      </c>
      <c r="D127" s="145">
        <f t="shared" si="5"/>
        <v>477.86751496226907</v>
      </c>
      <c r="E127" s="145">
        <f t="shared" si="5"/>
        <v>7.0791751236013525</v>
      </c>
      <c r="F127" s="145">
        <f t="shared" si="5"/>
        <v>67.43322577847168</v>
      </c>
      <c r="G127" s="145">
        <f t="shared" si="5"/>
        <v>0</v>
      </c>
      <c r="H127" s="145">
        <f t="shared" si="5"/>
        <v>0</v>
      </c>
      <c r="I127" s="145">
        <f t="shared" si="5"/>
        <v>0</v>
      </c>
      <c r="J127" s="145">
        <f t="shared" si="5"/>
        <v>274.14344175557289</v>
      </c>
      <c r="K127" s="145">
        <f t="shared" si="5"/>
        <v>0</v>
      </c>
      <c r="L127" s="375">
        <f>L126/$C$6</f>
        <v>441.09289617486337</v>
      </c>
      <c r="M127" s="376"/>
      <c r="N127" s="145">
        <f t="shared" ref="N127:T127" si="6">N126/$C$6</f>
        <v>101.73909272269928</v>
      </c>
      <c r="O127" s="145">
        <f t="shared" si="6"/>
        <v>3.4194639604475672</v>
      </c>
      <c r="P127" s="194">
        <f t="shared" si="6"/>
        <v>8.2059476103738405</v>
      </c>
      <c r="Q127" s="194">
        <f t="shared" si="6"/>
        <v>253.70538034521641</v>
      </c>
      <c r="R127" s="194">
        <f t="shared" si="6"/>
        <v>6.7809870760690436E-2</v>
      </c>
      <c r="S127" s="194">
        <f t="shared" si="6"/>
        <v>1386.7629638303408</v>
      </c>
      <c r="T127" s="145">
        <f t="shared" si="6"/>
        <v>-478.71954289183799</v>
      </c>
    </row>
    <row r="128" spans="1:20" x14ac:dyDescent="0.2">
      <c r="A128" s="361" t="s">
        <v>223</v>
      </c>
      <c r="B128" s="361"/>
      <c r="C128" s="361"/>
      <c r="D128" s="361"/>
      <c r="E128" s="361"/>
      <c r="F128" s="361"/>
      <c r="G128" s="361"/>
      <c r="H128" s="361"/>
      <c r="I128" s="361"/>
      <c r="J128" s="361"/>
      <c r="K128" s="361"/>
      <c r="L128" s="361"/>
      <c r="M128" s="361"/>
      <c r="N128" s="361"/>
      <c r="O128" s="361"/>
      <c r="P128" s="361"/>
      <c r="Q128" s="361"/>
      <c r="R128" s="361"/>
      <c r="S128" s="361"/>
      <c r="T128" s="361"/>
    </row>
    <row r="129" spans="1:47" x14ac:dyDescent="0.2">
      <c r="A129" s="80" t="s">
        <v>224</v>
      </c>
      <c r="B129" s="80"/>
      <c r="C129" s="80"/>
      <c r="D129" s="81"/>
      <c r="E129" s="81"/>
      <c r="F129" s="80"/>
      <c r="G129" s="80"/>
      <c r="H129" s="80"/>
      <c r="I129" s="80"/>
      <c r="J129" s="80"/>
      <c r="K129" s="80"/>
      <c r="L129" s="80"/>
      <c r="M129" s="80"/>
      <c r="N129" s="80"/>
      <c r="O129" s="81"/>
      <c r="P129" s="195"/>
    </row>
    <row r="130" spans="1:47" s="84" customFormat="1" ht="57.75" customHeight="1" x14ac:dyDescent="0.2">
      <c r="A130" s="133"/>
      <c r="B130" s="133"/>
      <c r="C130" s="133"/>
      <c r="D130" s="133"/>
      <c r="E130" s="133"/>
      <c r="F130" s="133"/>
      <c r="G130" s="133"/>
      <c r="H130" s="133"/>
      <c r="I130" s="133"/>
      <c r="J130" s="133"/>
      <c r="K130" s="133"/>
      <c r="L130" s="133"/>
      <c r="M130" s="133"/>
      <c r="N130" s="133"/>
      <c r="O130" s="133"/>
      <c r="P130" s="196"/>
      <c r="Q130" s="197"/>
      <c r="R130" s="197"/>
      <c r="S130" s="197"/>
      <c r="T130" s="144"/>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row>
    <row r="131" spans="1:47" ht="0.75" customHeight="1" x14ac:dyDescent="0.2">
      <c r="A131" s="133"/>
      <c r="B131" s="133"/>
      <c r="C131" s="133"/>
      <c r="D131" s="133"/>
      <c r="E131" s="133"/>
      <c r="F131" s="133"/>
      <c r="G131" s="133"/>
      <c r="H131" s="133"/>
      <c r="I131" s="133"/>
      <c r="J131" s="133"/>
      <c r="K131" s="133"/>
      <c r="L131" s="133"/>
      <c r="M131" s="133"/>
      <c r="N131" s="133"/>
      <c r="O131" s="133"/>
      <c r="P131" s="196"/>
      <c r="Q131" s="197"/>
      <c r="R131" s="197"/>
      <c r="S131" s="197"/>
      <c r="T131" s="144"/>
      <c r="U131" s="83"/>
      <c r="V131" s="83"/>
    </row>
    <row r="132" spans="1:47" ht="35.25" customHeight="1" x14ac:dyDescent="0.2">
      <c r="A132" s="133"/>
      <c r="B132" s="133"/>
      <c r="C132" s="133"/>
      <c r="D132" s="133"/>
      <c r="E132" s="133"/>
      <c r="F132" s="133"/>
      <c r="G132" s="133"/>
      <c r="H132" s="133"/>
      <c r="I132" s="133"/>
      <c r="J132" s="133"/>
      <c r="K132" s="133"/>
      <c r="L132" s="133"/>
      <c r="M132" s="133"/>
      <c r="N132" s="133"/>
      <c r="O132" s="133"/>
      <c r="P132" s="196"/>
      <c r="Q132" s="197"/>
      <c r="R132" s="197"/>
      <c r="S132" s="197"/>
      <c r="T132" s="144"/>
      <c r="U132" s="83"/>
      <c r="V132" s="83"/>
    </row>
    <row r="133" spans="1:47" ht="12.75" customHeight="1" x14ac:dyDescent="0.2">
      <c r="A133" s="133"/>
      <c r="B133" s="133"/>
      <c r="C133" s="133"/>
      <c r="D133" s="133"/>
      <c r="E133" s="133"/>
      <c r="F133" s="133"/>
      <c r="G133" s="133"/>
      <c r="H133" s="133"/>
      <c r="I133" s="133"/>
      <c r="J133" s="133"/>
      <c r="K133" s="133"/>
      <c r="L133" s="133"/>
      <c r="M133" s="133"/>
      <c r="N133" s="133"/>
      <c r="O133" s="133"/>
      <c r="P133" s="196"/>
      <c r="Q133" s="196"/>
      <c r="R133" s="196"/>
      <c r="S133" s="196"/>
      <c r="T133" s="133"/>
      <c r="U133" s="83"/>
      <c r="V133" s="83"/>
    </row>
    <row r="134" spans="1:47" ht="26.65" customHeight="1" x14ac:dyDescent="0.2">
      <c r="A134" s="133"/>
      <c r="B134" s="133"/>
      <c r="C134" s="133"/>
      <c r="D134" s="133"/>
      <c r="E134" s="133"/>
      <c r="F134" s="133"/>
      <c r="G134" s="133"/>
      <c r="H134" s="133"/>
      <c r="I134" s="133"/>
      <c r="J134" s="133"/>
      <c r="K134" s="133"/>
      <c r="L134" s="133"/>
      <c r="M134" s="133"/>
      <c r="N134" s="133"/>
      <c r="O134" s="133"/>
      <c r="P134" s="196"/>
      <c r="Q134" s="196"/>
      <c r="R134" s="196"/>
      <c r="S134" s="196"/>
      <c r="T134" s="133"/>
      <c r="U134" s="83"/>
      <c r="V134" s="83"/>
    </row>
    <row r="135" spans="1:47" ht="25.5" customHeight="1" x14ac:dyDescent="0.2">
      <c r="A135" s="133"/>
      <c r="B135" s="133"/>
      <c r="C135" s="133"/>
      <c r="D135" s="133"/>
      <c r="E135" s="133"/>
      <c r="F135" s="133"/>
      <c r="G135" s="133"/>
      <c r="H135" s="133"/>
      <c r="I135" s="133"/>
      <c r="J135" s="133"/>
      <c r="K135" s="133"/>
      <c r="L135" s="133"/>
      <c r="M135" s="133"/>
      <c r="N135" s="133"/>
      <c r="O135" s="133"/>
      <c r="P135" s="196"/>
      <c r="Q135" s="196"/>
      <c r="R135" s="196"/>
      <c r="S135" s="196"/>
      <c r="T135" s="133"/>
      <c r="U135" s="83"/>
      <c r="V135" s="83"/>
    </row>
    <row r="136" spans="1:47" ht="29.65" customHeight="1" x14ac:dyDescent="0.2">
      <c r="A136" s="133"/>
      <c r="B136" s="133"/>
      <c r="C136" s="133"/>
      <c r="D136" s="133"/>
      <c r="E136" s="133"/>
      <c r="F136" s="133"/>
      <c r="G136" s="133"/>
      <c r="H136" s="133"/>
      <c r="I136" s="133"/>
      <c r="J136" s="133"/>
      <c r="K136" s="133"/>
      <c r="L136" s="133"/>
      <c r="M136" s="133"/>
      <c r="N136" s="133"/>
      <c r="O136" s="133"/>
      <c r="P136" s="196"/>
      <c r="Q136" s="196"/>
      <c r="R136" s="196"/>
      <c r="S136" s="196"/>
      <c r="T136" s="133"/>
      <c r="U136" s="83"/>
      <c r="V136" s="83"/>
    </row>
    <row r="137" spans="1:47" ht="29.25" customHeight="1" x14ac:dyDescent="0.2">
      <c r="A137" s="133"/>
      <c r="B137" s="133"/>
      <c r="C137" s="133"/>
      <c r="D137" s="133"/>
      <c r="E137" s="133"/>
      <c r="F137" s="133"/>
      <c r="G137" s="133"/>
      <c r="H137" s="133"/>
      <c r="I137" s="133"/>
      <c r="J137" s="133"/>
      <c r="K137" s="133"/>
      <c r="L137" s="133"/>
      <c r="M137" s="133"/>
      <c r="N137" s="133"/>
      <c r="O137" s="133"/>
      <c r="P137" s="196"/>
      <c r="Q137" s="196"/>
      <c r="R137" s="196"/>
      <c r="S137" s="196"/>
      <c r="T137" s="133"/>
      <c r="U137" s="83"/>
      <c r="V137" s="83"/>
    </row>
    <row r="138" spans="1:47" ht="33" customHeight="1" x14ac:dyDescent="0.2">
      <c r="A138" s="133"/>
      <c r="B138" s="133"/>
      <c r="C138" s="133"/>
      <c r="D138" s="133"/>
      <c r="E138" s="133"/>
      <c r="F138" s="133"/>
      <c r="G138" s="133"/>
      <c r="H138" s="133"/>
      <c r="I138" s="133"/>
      <c r="J138" s="133"/>
      <c r="K138" s="133"/>
      <c r="L138" s="133"/>
      <c r="M138" s="133"/>
      <c r="N138" s="133"/>
      <c r="O138" s="133"/>
      <c r="P138" s="196"/>
      <c r="Q138" s="196"/>
      <c r="R138" s="196"/>
      <c r="S138" s="196"/>
      <c r="T138" s="133"/>
      <c r="U138" s="83"/>
      <c r="V138" s="83"/>
    </row>
    <row r="139" spans="1:47" ht="33" customHeight="1" x14ac:dyDescent="0.2">
      <c r="A139" s="133"/>
      <c r="B139" s="133"/>
      <c r="C139" s="133"/>
      <c r="D139" s="133"/>
      <c r="E139" s="133"/>
      <c r="F139" s="133"/>
      <c r="G139" s="133"/>
      <c r="H139" s="133"/>
      <c r="I139" s="133"/>
      <c r="J139" s="133"/>
      <c r="K139" s="133"/>
      <c r="L139" s="133"/>
      <c r="M139" s="133"/>
      <c r="N139" s="133"/>
      <c r="O139" s="133"/>
      <c r="P139" s="196"/>
      <c r="Q139" s="196"/>
      <c r="R139" s="196"/>
      <c r="S139" s="196"/>
      <c r="T139" s="133"/>
      <c r="U139" s="83"/>
      <c r="V139" s="83"/>
    </row>
    <row r="140" spans="1:47" ht="33.4" customHeight="1" x14ac:dyDescent="0.2">
      <c r="A140" s="133"/>
      <c r="B140" s="133"/>
      <c r="C140" s="133"/>
      <c r="D140" s="133"/>
      <c r="E140" s="133"/>
      <c r="F140" s="133"/>
      <c r="G140" s="133"/>
      <c r="H140" s="133"/>
      <c r="I140" s="133"/>
      <c r="J140" s="133"/>
      <c r="K140" s="133"/>
      <c r="L140" s="133"/>
      <c r="M140" s="133"/>
      <c r="N140" s="133"/>
      <c r="O140" s="133"/>
      <c r="P140" s="196"/>
      <c r="Q140" s="196"/>
      <c r="R140" s="196"/>
      <c r="S140" s="196"/>
      <c r="T140" s="133"/>
      <c r="U140" s="83"/>
      <c r="V140" s="83"/>
    </row>
    <row r="141" spans="1:47" ht="29.65" customHeight="1" x14ac:dyDescent="0.2">
      <c r="A141" s="133"/>
      <c r="B141" s="133"/>
      <c r="C141" s="133"/>
      <c r="D141" s="133"/>
      <c r="E141" s="133"/>
      <c r="F141" s="133"/>
      <c r="G141" s="133"/>
      <c r="H141" s="133"/>
      <c r="I141" s="133"/>
      <c r="J141" s="133"/>
      <c r="K141" s="133"/>
      <c r="L141" s="133"/>
      <c r="M141" s="133"/>
      <c r="N141" s="133"/>
      <c r="O141" s="133"/>
      <c r="P141" s="196"/>
      <c r="Q141" s="196"/>
      <c r="R141" s="196"/>
      <c r="S141" s="196"/>
      <c r="T141" s="133"/>
      <c r="U141" s="83"/>
      <c r="V141" s="83"/>
    </row>
    <row r="142" spans="1:47" ht="34.9" customHeight="1" x14ac:dyDescent="0.2">
      <c r="A142" s="133"/>
      <c r="B142" s="133"/>
      <c r="C142" s="133"/>
      <c r="D142" s="133"/>
      <c r="E142" s="133"/>
      <c r="F142" s="133"/>
      <c r="G142" s="133"/>
      <c r="H142" s="133"/>
      <c r="I142" s="133"/>
      <c r="J142" s="133"/>
      <c r="K142" s="133"/>
      <c r="L142" s="133"/>
      <c r="M142" s="133"/>
      <c r="N142" s="133"/>
      <c r="O142" s="133"/>
      <c r="P142" s="196"/>
      <c r="Q142" s="196"/>
      <c r="R142" s="196"/>
      <c r="S142" s="196"/>
      <c r="T142" s="133"/>
      <c r="U142" s="83"/>
      <c r="V142" s="83"/>
    </row>
    <row r="143" spans="1:47" ht="28.9" customHeight="1" x14ac:dyDescent="0.2">
      <c r="A143" s="133"/>
      <c r="B143" s="133"/>
      <c r="C143" s="133"/>
      <c r="D143" s="133"/>
      <c r="E143" s="133"/>
      <c r="F143" s="133"/>
      <c r="G143" s="133"/>
      <c r="H143" s="133"/>
      <c r="I143" s="133"/>
      <c r="J143" s="133"/>
      <c r="K143" s="133"/>
      <c r="L143" s="133"/>
      <c r="M143" s="133"/>
      <c r="N143" s="133"/>
      <c r="O143" s="133"/>
      <c r="P143" s="196"/>
      <c r="Q143" s="196"/>
      <c r="R143" s="196"/>
      <c r="S143" s="196"/>
      <c r="T143" s="133"/>
      <c r="U143" s="83"/>
      <c r="V143" s="83"/>
    </row>
    <row r="144" spans="1:47" ht="31.9" customHeight="1" x14ac:dyDescent="0.2">
      <c r="A144" s="133"/>
      <c r="B144" s="133"/>
      <c r="C144" s="133"/>
      <c r="D144" s="133"/>
      <c r="E144" s="133"/>
      <c r="F144" s="133"/>
      <c r="G144" s="133"/>
      <c r="H144" s="133"/>
      <c r="I144" s="133"/>
      <c r="J144" s="133"/>
      <c r="K144" s="133"/>
      <c r="L144" s="133"/>
      <c r="M144" s="133"/>
      <c r="N144" s="133"/>
      <c r="O144" s="133"/>
      <c r="P144" s="196"/>
      <c r="Q144" s="196"/>
      <c r="R144" s="196"/>
      <c r="S144" s="196"/>
      <c r="T144" s="133"/>
      <c r="U144" s="83"/>
      <c r="V144" s="83"/>
    </row>
    <row r="145" spans="1:22" ht="33" customHeight="1" x14ac:dyDescent="0.2">
      <c r="A145" s="133"/>
      <c r="B145" s="133"/>
      <c r="C145" s="133"/>
      <c r="D145" s="133"/>
      <c r="E145" s="133"/>
      <c r="F145" s="133"/>
      <c r="G145" s="133"/>
      <c r="H145" s="133"/>
      <c r="I145" s="133"/>
      <c r="J145" s="133"/>
      <c r="K145" s="133"/>
      <c r="L145" s="133"/>
      <c r="M145" s="133"/>
      <c r="N145" s="133"/>
      <c r="O145" s="133"/>
      <c r="P145" s="196"/>
      <c r="Q145" s="196"/>
      <c r="R145" s="196"/>
      <c r="S145" s="196"/>
      <c r="T145" s="133"/>
      <c r="U145" s="83"/>
      <c r="V145" s="83"/>
    </row>
    <row r="146" spans="1:22" ht="34.15" customHeight="1" x14ac:dyDescent="0.2">
      <c r="A146" s="133"/>
      <c r="B146" s="133"/>
      <c r="C146" s="133"/>
      <c r="D146" s="133"/>
      <c r="E146" s="133"/>
      <c r="F146" s="133"/>
      <c r="G146" s="133"/>
      <c r="H146" s="133"/>
      <c r="I146" s="133"/>
      <c r="J146" s="133"/>
      <c r="K146" s="133"/>
      <c r="L146" s="133"/>
      <c r="M146" s="133"/>
      <c r="N146" s="133"/>
      <c r="O146" s="133"/>
      <c r="P146" s="196"/>
      <c r="Q146" s="196"/>
      <c r="R146" s="196"/>
      <c r="S146" s="196"/>
      <c r="T146" s="133"/>
      <c r="U146" s="83"/>
      <c r="V146" s="83"/>
    </row>
    <row r="147" spans="1:22" ht="30.4" customHeight="1" x14ac:dyDescent="0.2">
      <c r="A147" s="133"/>
      <c r="B147" s="133"/>
      <c r="C147" s="133"/>
      <c r="D147" s="133"/>
      <c r="E147" s="133"/>
      <c r="F147" s="133"/>
      <c r="G147" s="133"/>
      <c r="H147" s="133"/>
      <c r="I147" s="133"/>
      <c r="J147" s="133"/>
      <c r="K147" s="133"/>
      <c r="L147" s="133"/>
      <c r="M147" s="133"/>
      <c r="N147" s="133"/>
      <c r="O147" s="133"/>
      <c r="P147" s="196"/>
      <c r="Q147" s="196"/>
      <c r="R147" s="196"/>
      <c r="S147" s="196"/>
      <c r="T147" s="133"/>
      <c r="U147" s="83"/>
      <c r="V147" s="83"/>
    </row>
    <row r="148" spans="1:22" ht="32.65" customHeight="1" x14ac:dyDescent="0.2">
      <c r="A148" s="133"/>
      <c r="B148" s="133"/>
      <c r="C148" s="133"/>
      <c r="D148" s="133"/>
      <c r="E148" s="133"/>
      <c r="F148" s="133"/>
      <c r="G148" s="133"/>
      <c r="H148" s="133"/>
      <c r="I148" s="133"/>
      <c r="J148" s="133"/>
      <c r="K148" s="133"/>
      <c r="L148" s="133"/>
      <c r="M148" s="133"/>
      <c r="N148" s="133"/>
      <c r="O148" s="133"/>
      <c r="P148" s="196"/>
      <c r="Q148" s="196"/>
      <c r="R148" s="196"/>
      <c r="S148" s="196"/>
      <c r="T148" s="133"/>
      <c r="U148" s="83"/>
      <c r="V148" s="83"/>
    </row>
    <row r="149" spans="1:22" ht="31.5" customHeight="1" x14ac:dyDescent="0.2">
      <c r="A149" s="133"/>
      <c r="B149" s="133"/>
      <c r="C149" s="133"/>
      <c r="D149" s="133"/>
      <c r="E149" s="133"/>
      <c r="F149" s="133"/>
      <c r="G149" s="133"/>
      <c r="H149" s="133"/>
      <c r="I149" s="133"/>
      <c r="J149" s="133"/>
      <c r="K149" s="133"/>
      <c r="L149" s="133"/>
      <c r="M149" s="133"/>
      <c r="N149" s="133"/>
      <c r="O149" s="133"/>
      <c r="P149" s="196"/>
      <c r="Q149" s="196"/>
      <c r="R149" s="196"/>
      <c r="S149" s="196"/>
      <c r="T149" s="133"/>
      <c r="U149" s="83"/>
      <c r="V149" s="83"/>
    </row>
    <row r="150" spans="1:22" ht="38.25" customHeight="1" x14ac:dyDescent="0.2">
      <c r="A150" s="133"/>
      <c r="B150" s="133"/>
      <c r="C150" s="133"/>
      <c r="D150" s="133"/>
      <c r="E150" s="133"/>
      <c r="F150" s="133"/>
      <c r="G150" s="133"/>
      <c r="H150" s="133"/>
      <c r="I150" s="133"/>
      <c r="J150" s="133"/>
      <c r="K150" s="133"/>
      <c r="L150" s="133"/>
      <c r="M150" s="133"/>
      <c r="N150" s="133"/>
      <c r="O150" s="133"/>
      <c r="P150" s="196"/>
      <c r="Q150" s="196"/>
      <c r="R150" s="196"/>
      <c r="S150" s="196"/>
      <c r="T150" s="133"/>
      <c r="U150" s="83"/>
      <c r="V150" s="83"/>
    </row>
    <row r="151" spans="1:22" ht="24.75" customHeight="1" x14ac:dyDescent="0.2">
      <c r="A151" s="133"/>
      <c r="B151" s="133"/>
      <c r="C151" s="133"/>
      <c r="D151" s="133"/>
      <c r="E151" s="133"/>
      <c r="F151" s="133"/>
      <c r="G151" s="133"/>
      <c r="H151" s="133"/>
      <c r="I151" s="133"/>
      <c r="J151" s="133"/>
      <c r="K151" s="133"/>
      <c r="L151" s="133"/>
      <c r="M151" s="133"/>
      <c r="N151" s="133"/>
      <c r="O151" s="133"/>
      <c r="P151" s="196"/>
      <c r="Q151" s="196"/>
      <c r="R151" s="196"/>
      <c r="S151" s="196"/>
      <c r="T151" s="133"/>
      <c r="U151" s="83"/>
      <c r="V151" s="83"/>
    </row>
    <row r="152" spans="1:22" ht="23.25" x14ac:dyDescent="0.2">
      <c r="A152" s="133"/>
      <c r="B152" s="133"/>
      <c r="C152" s="133"/>
      <c r="D152" s="133"/>
      <c r="E152" s="133"/>
      <c r="F152" s="133"/>
      <c r="G152" s="133"/>
      <c r="H152" s="133"/>
      <c r="I152" s="133"/>
      <c r="J152" s="133"/>
      <c r="K152" s="133"/>
      <c r="L152" s="133"/>
      <c r="M152" s="133"/>
      <c r="N152" s="133"/>
      <c r="O152" s="133"/>
      <c r="P152" s="196"/>
      <c r="Q152" s="196"/>
      <c r="R152" s="196"/>
      <c r="S152" s="196"/>
      <c r="T152" s="133"/>
      <c r="U152" s="83"/>
      <c r="V152" s="83"/>
    </row>
    <row r="153" spans="1:22" ht="31.5" customHeight="1" x14ac:dyDescent="0.2">
      <c r="A153" s="133"/>
      <c r="B153" s="133"/>
      <c r="C153" s="133"/>
      <c r="D153" s="133"/>
      <c r="E153" s="133"/>
      <c r="F153" s="133"/>
      <c r="G153" s="133"/>
      <c r="H153" s="133"/>
      <c r="I153" s="133"/>
      <c r="J153" s="133"/>
      <c r="K153" s="133"/>
      <c r="L153" s="133"/>
      <c r="M153" s="133"/>
      <c r="N153" s="133"/>
      <c r="O153" s="133"/>
      <c r="P153" s="196"/>
      <c r="Q153" s="196"/>
      <c r="R153" s="196"/>
      <c r="S153" s="196"/>
      <c r="T153" s="133"/>
      <c r="U153" s="83"/>
      <c r="V153" s="83"/>
    </row>
    <row r="154" spans="1:22" ht="25.9" customHeight="1" x14ac:dyDescent="0.2">
      <c r="A154" s="133"/>
      <c r="B154" s="133"/>
      <c r="C154" s="133"/>
      <c r="D154" s="133"/>
      <c r="E154" s="133"/>
      <c r="F154" s="133"/>
      <c r="G154" s="133"/>
      <c r="H154" s="133"/>
      <c r="I154" s="133"/>
      <c r="J154" s="133"/>
      <c r="K154" s="133"/>
      <c r="L154" s="133"/>
      <c r="M154" s="133"/>
      <c r="N154" s="133"/>
      <c r="O154" s="133"/>
      <c r="P154" s="196"/>
      <c r="Q154" s="196"/>
      <c r="R154" s="196"/>
      <c r="S154" s="196"/>
      <c r="T154" s="133"/>
      <c r="U154" s="83"/>
      <c r="V154" s="83"/>
    </row>
    <row r="155" spans="1:22" ht="33" customHeight="1" x14ac:dyDescent="0.2">
      <c r="A155" s="133"/>
      <c r="B155" s="133"/>
      <c r="C155" s="133"/>
      <c r="D155" s="133"/>
      <c r="E155" s="133"/>
      <c r="F155" s="133"/>
      <c r="G155" s="133"/>
      <c r="H155" s="133"/>
      <c r="I155" s="133"/>
      <c r="J155" s="133"/>
      <c r="K155" s="133"/>
      <c r="L155" s="133"/>
      <c r="M155" s="133"/>
      <c r="N155" s="133"/>
      <c r="O155" s="133"/>
      <c r="P155" s="196"/>
      <c r="Q155" s="196"/>
      <c r="R155" s="196"/>
      <c r="S155" s="196"/>
      <c r="T155" s="133"/>
      <c r="U155" s="83"/>
      <c r="V155" s="83"/>
    </row>
    <row r="156" spans="1:22" ht="37.9" customHeight="1" x14ac:dyDescent="0.2">
      <c r="A156" s="133"/>
      <c r="B156" s="133"/>
      <c r="C156" s="133"/>
      <c r="D156" s="133"/>
      <c r="E156" s="133"/>
      <c r="F156" s="133"/>
      <c r="G156" s="133"/>
      <c r="H156" s="133"/>
      <c r="I156" s="133"/>
      <c r="J156" s="133"/>
      <c r="K156" s="133"/>
      <c r="L156" s="133"/>
      <c r="M156" s="133"/>
      <c r="N156" s="133"/>
      <c r="O156" s="133"/>
      <c r="P156" s="196"/>
      <c r="Q156" s="196"/>
      <c r="R156" s="196"/>
      <c r="S156" s="196"/>
      <c r="T156" s="133"/>
      <c r="U156" s="83"/>
      <c r="V156" s="83"/>
    </row>
    <row r="157" spans="1:22" ht="37.9" customHeight="1" x14ac:dyDescent="0.2">
      <c r="A157" s="133"/>
      <c r="B157" s="133"/>
      <c r="C157" s="133"/>
      <c r="D157" s="133"/>
      <c r="E157" s="133"/>
      <c r="F157" s="133"/>
      <c r="G157" s="133"/>
      <c r="H157" s="133"/>
      <c r="I157" s="133"/>
      <c r="J157" s="133"/>
      <c r="K157" s="133"/>
      <c r="L157" s="133"/>
      <c r="M157" s="133"/>
      <c r="N157" s="133"/>
      <c r="O157" s="133"/>
      <c r="P157" s="196"/>
      <c r="Q157" s="196"/>
      <c r="R157" s="196"/>
      <c r="S157" s="196"/>
      <c r="T157" s="133"/>
      <c r="U157" s="83"/>
      <c r="V157" s="83"/>
    </row>
    <row r="158" spans="1:22" ht="23.25" x14ac:dyDescent="0.2">
      <c r="A158" s="133"/>
      <c r="B158" s="133"/>
      <c r="C158" s="133"/>
      <c r="D158" s="133"/>
      <c r="E158" s="133"/>
      <c r="F158" s="133"/>
      <c r="G158" s="133"/>
      <c r="H158" s="133"/>
      <c r="I158" s="133"/>
      <c r="J158" s="133"/>
      <c r="K158" s="133"/>
      <c r="L158" s="133"/>
      <c r="M158" s="133"/>
      <c r="N158" s="133"/>
      <c r="O158" s="133"/>
      <c r="P158" s="196"/>
      <c r="Q158" s="196"/>
      <c r="R158" s="196"/>
      <c r="S158" s="196"/>
      <c r="T158" s="133"/>
      <c r="U158" s="83"/>
      <c r="V158" s="83"/>
    </row>
    <row r="159" spans="1:22" ht="12.75" customHeight="1" x14ac:dyDescent="0.2">
      <c r="A159" s="133"/>
      <c r="B159" s="133"/>
      <c r="C159" s="133"/>
      <c r="D159" s="133"/>
      <c r="E159" s="133"/>
      <c r="F159" s="133"/>
      <c r="G159" s="133"/>
      <c r="H159" s="133"/>
      <c r="I159" s="133"/>
      <c r="J159" s="133"/>
      <c r="K159" s="133"/>
      <c r="L159" s="133"/>
      <c r="M159" s="133"/>
      <c r="N159" s="133"/>
      <c r="O159" s="133"/>
      <c r="P159" s="196"/>
      <c r="Q159" s="196"/>
      <c r="R159" s="196"/>
      <c r="S159" s="196"/>
      <c r="T159" s="133"/>
      <c r="U159" s="83"/>
      <c r="V159" s="83"/>
    </row>
    <row r="160" spans="1:22" ht="23.25" x14ac:dyDescent="0.2">
      <c r="A160" s="133"/>
      <c r="B160" s="133"/>
      <c r="C160" s="133"/>
      <c r="D160" s="133"/>
      <c r="E160" s="133"/>
      <c r="F160" s="133"/>
      <c r="G160" s="133"/>
      <c r="H160" s="133"/>
      <c r="I160" s="133"/>
      <c r="J160" s="133"/>
      <c r="K160" s="133"/>
      <c r="L160" s="133"/>
      <c r="M160" s="133"/>
      <c r="N160" s="133"/>
      <c r="O160" s="133"/>
      <c r="P160" s="196"/>
      <c r="Q160" s="196"/>
      <c r="R160" s="196"/>
      <c r="S160" s="196"/>
      <c r="T160" s="133"/>
      <c r="U160" s="83"/>
      <c r="V160" s="83"/>
    </row>
    <row r="161" spans="1:22" ht="23.25" x14ac:dyDescent="0.2">
      <c r="A161" s="133"/>
      <c r="B161" s="133"/>
      <c r="C161" s="133"/>
      <c r="D161" s="133"/>
      <c r="E161" s="133"/>
      <c r="F161" s="133"/>
      <c r="G161" s="133"/>
      <c r="H161" s="133"/>
      <c r="I161" s="133"/>
      <c r="J161" s="133"/>
      <c r="K161" s="133"/>
      <c r="L161" s="133"/>
      <c r="M161" s="133"/>
      <c r="N161" s="133"/>
      <c r="O161" s="133"/>
      <c r="P161" s="196"/>
      <c r="Q161" s="196"/>
      <c r="R161" s="196"/>
      <c r="S161" s="196"/>
      <c r="T161" s="133"/>
      <c r="U161" s="83"/>
      <c r="V161" s="83"/>
    </row>
    <row r="162" spans="1:22" ht="23.25" x14ac:dyDescent="0.2">
      <c r="A162" s="133"/>
      <c r="B162" s="133"/>
      <c r="C162" s="133"/>
      <c r="D162" s="133"/>
      <c r="E162" s="133"/>
      <c r="F162" s="133"/>
      <c r="G162" s="133"/>
      <c r="H162" s="133"/>
      <c r="I162" s="133"/>
      <c r="J162" s="133"/>
      <c r="K162" s="133"/>
      <c r="L162" s="133"/>
      <c r="M162" s="133"/>
      <c r="N162" s="133"/>
      <c r="O162" s="133"/>
      <c r="P162" s="196"/>
      <c r="Q162" s="196"/>
      <c r="R162" s="196"/>
      <c r="S162" s="196"/>
      <c r="T162" s="133"/>
      <c r="U162" s="83"/>
      <c r="V162" s="83"/>
    </row>
    <row r="163" spans="1:22" ht="23.25" x14ac:dyDescent="0.2">
      <c r="A163" s="133"/>
      <c r="B163" s="133"/>
      <c r="C163" s="133"/>
      <c r="D163" s="133"/>
      <c r="E163" s="133"/>
      <c r="F163" s="133"/>
      <c r="G163" s="133"/>
      <c r="H163" s="133"/>
      <c r="I163" s="133"/>
      <c r="J163" s="133"/>
      <c r="K163" s="133"/>
      <c r="L163" s="133"/>
      <c r="M163" s="133"/>
      <c r="N163" s="133"/>
      <c r="O163" s="133"/>
      <c r="P163" s="196"/>
      <c r="Q163" s="196"/>
      <c r="R163" s="196"/>
      <c r="S163" s="196"/>
      <c r="T163" s="133"/>
      <c r="U163" s="83"/>
      <c r="V163" s="83"/>
    </row>
  </sheetData>
  <sheetProtection algorithmName="SHA-512" hashValue="OCB4fFHHVQCPB++lAUaf8dXZawA27PdtlSYT+5w9iqfHzkhOogqLWwdAv6oXckPyRSTYmlKNT9HAjAQbxP6xUg==" saltValue="KIy+npz/MnEeNvXcy+IAEg==" spinCount="100000" sheet="1" objects="1" scenarios="1" formatCells="0" insertRows="0"/>
  <mergeCells count="144">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101:R102"/>
    <mergeCell ref="S101:S104"/>
    <mergeCell ref="E98:G98"/>
    <mergeCell ref="H97:I97"/>
    <mergeCell ref="F56:G56"/>
    <mergeCell ref="F62:G62"/>
    <mergeCell ref="F68:G68"/>
    <mergeCell ref="F78:G78"/>
    <mergeCell ref="F79:G79"/>
    <mergeCell ref="F80:G80"/>
    <mergeCell ref="F57:G57"/>
    <mergeCell ref="A128:T128"/>
    <mergeCell ref="A40:B44"/>
    <mergeCell ref="E99:G99"/>
    <mergeCell ref="A30:B30"/>
    <mergeCell ref="C30:F30"/>
    <mergeCell ref="A31:B31"/>
    <mergeCell ref="C31:F31"/>
    <mergeCell ref="A32:B32"/>
    <mergeCell ref="C32:F32"/>
    <mergeCell ref="G125:R125"/>
    <mergeCell ref="L122:N124"/>
    <mergeCell ref="A126:B126"/>
    <mergeCell ref="L126:M126"/>
    <mergeCell ref="A127:B127"/>
    <mergeCell ref="L127:M127"/>
    <mergeCell ref="T101:T102"/>
    <mergeCell ref="D103:F103"/>
    <mergeCell ref="G103:N103"/>
    <mergeCell ref="O103:R103"/>
    <mergeCell ref="J96:L96"/>
    <mergeCell ref="J97:L97"/>
    <mergeCell ref="H95:I95"/>
    <mergeCell ref="T103:T104"/>
    <mergeCell ref="L104:M104"/>
    <mergeCell ref="C125:E125"/>
    <mergeCell ref="A125:B125"/>
    <mergeCell ref="A101:B103"/>
    <mergeCell ref="D101:D102"/>
    <mergeCell ref="E101:F102"/>
    <mergeCell ref="G101:N102"/>
    <mergeCell ref="F81:G81"/>
    <mergeCell ref="F82:G82"/>
    <mergeCell ref="F83:G83"/>
    <mergeCell ref="F93:G93"/>
    <mergeCell ref="J82:L82"/>
    <mergeCell ref="J83:L83"/>
    <mergeCell ref="J93:L93"/>
    <mergeCell ref="J94:L94"/>
    <mergeCell ref="J95:L95"/>
    <mergeCell ref="C105:N106"/>
    <mergeCell ref="L107:N120"/>
    <mergeCell ref="J99:L99"/>
    <mergeCell ref="C101:C104"/>
    <mergeCell ref="A94:B94"/>
    <mergeCell ref="H94:I94"/>
    <mergeCell ref="J84:L84"/>
    <mergeCell ref="J85:L85"/>
    <mergeCell ref="J86:L86"/>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90:L90"/>
    <mergeCell ref="J91:L91"/>
    <mergeCell ref="J92:L92"/>
    <mergeCell ref="J80:L80"/>
    <mergeCell ref="J81:L81"/>
    <mergeCell ref="J52:L52"/>
    <mergeCell ref="J53:L53"/>
    <mergeCell ref="J54:L54"/>
    <mergeCell ref="J55:L55"/>
    <mergeCell ref="J56:L56"/>
    <mergeCell ref="J62:L62"/>
    <mergeCell ref="J68:L68"/>
    <mergeCell ref="J78:L78"/>
    <mergeCell ref="J79:L79"/>
    <mergeCell ref="F52:G52"/>
    <mergeCell ref="F58:G58"/>
    <mergeCell ref="F59:G59"/>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267"/>
  <sheetViews>
    <sheetView showGridLines="0" tabSelected="1" topLeftCell="D204" zoomScale="70" zoomScaleNormal="70" workbookViewId="0">
      <selection activeCell="G218" sqref="G218"/>
    </sheetView>
  </sheetViews>
  <sheetFormatPr defaultColWidth="9.140625" defaultRowHeight="12.75" x14ac:dyDescent="0.2"/>
  <cols>
    <col min="1" max="1" width="14.28515625" style="44" customWidth="1"/>
    <col min="2" max="2" width="51.28515625" customWidth="1"/>
    <col min="3" max="3" width="84.5703125" style="47" customWidth="1"/>
    <col min="4" max="4" width="37" style="47" customWidth="1"/>
    <col min="5" max="5" width="45.42578125" style="47" customWidth="1"/>
    <col min="6" max="6" width="50.85546875" style="47" customWidth="1"/>
    <col min="7" max="7" width="24.425781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6" width="21.140625" bestFit="1" customWidth="1"/>
    <col min="17" max="17" width="23.85546875" bestFit="1" customWidth="1"/>
    <col min="18" max="18" width="21.140625" bestFit="1" customWidth="1"/>
    <col min="19" max="19" width="25.28515625" bestFit="1" customWidth="1"/>
    <col min="20" max="20" width="26.42578125" customWidth="1"/>
    <col min="26" max="26" width="46" bestFit="1" customWidth="1"/>
    <col min="27" max="27" width="126.42578125" customWidth="1"/>
  </cols>
  <sheetData>
    <row r="1" spans="1:11" x14ac:dyDescent="0.2">
      <c r="A1" s="441" t="s">
        <v>36</v>
      </c>
      <c r="B1" s="441"/>
      <c r="C1" s="442"/>
      <c r="D1" s="442"/>
      <c r="E1" s="442"/>
      <c r="F1" s="442"/>
    </row>
    <row r="2" spans="1:11" x14ac:dyDescent="0.2">
      <c r="A2" s="241" t="s">
        <v>37</v>
      </c>
      <c r="B2" s="241"/>
      <c r="C2" s="288" t="s">
        <v>299</v>
      </c>
      <c r="D2" s="288"/>
      <c r="E2" s="288"/>
      <c r="F2" s="288"/>
      <c r="H2" s="416" t="s">
        <v>86</v>
      </c>
      <c r="I2" s="416"/>
      <c r="J2" s="416"/>
      <c r="K2" s="49"/>
    </row>
    <row r="3" spans="1:11" x14ac:dyDescent="0.2">
      <c r="A3" s="242" t="s">
        <v>38</v>
      </c>
      <c r="B3" s="293"/>
      <c r="C3" s="288"/>
      <c r="D3" s="288"/>
      <c r="E3" s="288"/>
      <c r="F3" s="288"/>
      <c r="H3" s="124"/>
      <c r="I3" s="272" t="s">
        <v>87</v>
      </c>
      <c r="J3" s="273"/>
      <c r="K3" s="45"/>
    </row>
    <row r="4" spans="1:11" x14ac:dyDescent="0.2">
      <c r="A4" s="241" t="s">
        <v>88</v>
      </c>
      <c r="B4" s="241"/>
      <c r="C4" s="288" t="s">
        <v>418</v>
      </c>
      <c r="D4" s="288"/>
      <c r="E4" s="288"/>
      <c r="F4" s="288"/>
      <c r="H4" s="155"/>
      <c r="I4" s="414" t="s">
        <v>89</v>
      </c>
      <c r="J4" s="415"/>
      <c r="K4" s="45"/>
    </row>
    <row r="5" spans="1:11" ht="35.25" customHeight="1" x14ac:dyDescent="0.2">
      <c r="A5" s="241" t="s">
        <v>40</v>
      </c>
      <c r="B5" s="241"/>
      <c r="C5" s="288" t="s">
        <v>330</v>
      </c>
      <c r="D5" s="288"/>
      <c r="E5" s="288"/>
      <c r="F5" s="288"/>
      <c r="H5" s="143"/>
      <c r="I5" s="412" t="s">
        <v>90</v>
      </c>
      <c r="J5" s="413"/>
    </row>
    <row r="6" spans="1:11" ht="14.25" x14ac:dyDescent="0.2">
      <c r="A6" s="241" t="s">
        <v>41</v>
      </c>
      <c r="B6" s="241"/>
      <c r="C6" s="288">
        <v>11852</v>
      </c>
      <c r="D6" s="288"/>
      <c r="E6" s="288"/>
      <c r="F6" s="288"/>
    </row>
    <row r="7" spans="1:11" x14ac:dyDescent="0.2">
      <c r="A7"/>
      <c r="C7"/>
      <c r="D7"/>
      <c r="E7"/>
      <c r="F7"/>
    </row>
    <row r="8" spans="1:11" ht="22.5" customHeight="1" x14ac:dyDescent="0.2">
      <c r="A8" s="465" t="s">
        <v>91</v>
      </c>
      <c r="B8" s="466"/>
      <c r="C8" s="466"/>
      <c r="D8" s="466"/>
      <c r="E8" s="466"/>
      <c r="F8" s="467"/>
    </row>
    <row r="9" spans="1:11" s="42" customFormat="1" x14ac:dyDescent="0.2">
      <c r="A9" s="241" t="s">
        <v>42</v>
      </c>
      <c r="B9" s="241"/>
      <c r="C9" s="288" t="s">
        <v>300</v>
      </c>
      <c r="D9" s="288"/>
      <c r="E9" s="288"/>
      <c r="F9" s="288"/>
    </row>
    <row r="10" spans="1:11" s="42" customFormat="1" x14ac:dyDescent="0.2">
      <c r="A10" s="241" t="s">
        <v>92</v>
      </c>
      <c r="B10" s="241"/>
      <c r="C10" s="443" t="s">
        <v>422</v>
      </c>
      <c r="D10" s="443"/>
      <c r="E10" s="443"/>
      <c r="F10" s="443"/>
      <c r="G10" s="43"/>
    </row>
    <row r="11" spans="1:11" x14ac:dyDescent="0.2">
      <c r="A11" s="103"/>
      <c r="B11" s="104" t="s">
        <v>93</v>
      </c>
      <c r="C11" s="105" t="s">
        <v>327</v>
      </c>
      <c r="D11" s="106"/>
      <c r="E11" s="106"/>
      <c r="F11" s="107"/>
      <c r="G11" s="49"/>
    </row>
    <row r="12" spans="1:11" ht="64.5" customHeight="1" x14ac:dyDescent="0.2">
      <c r="A12" s="242" t="s">
        <v>95</v>
      </c>
      <c r="B12" s="293"/>
      <c r="C12" s="281" t="s">
        <v>328</v>
      </c>
      <c r="D12" s="282"/>
      <c r="E12" s="282"/>
      <c r="F12" s="283"/>
      <c r="G12" s="49"/>
    </row>
    <row r="13" spans="1:11" ht="39" customHeight="1" x14ac:dyDescent="0.2">
      <c r="A13" s="241" t="s">
        <v>97</v>
      </c>
      <c r="B13" s="241"/>
      <c r="C13" s="285" t="s">
        <v>329</v>
      </c>
      <c r="D13" s="285"/>
      <c r="E13" s="285"/>
      <c r="F13" s="285"/>
      <c r="G13" s="50"/>
    </row>
    <row r="14" spans="1:11" ht="39.75" customHeight="1" x14ac:dyDescent="0.2">
      <c r="A14" s="242" t="s">
        <v>225</v>
      </c>
      <c r="B14" s="293"/>
      <c r="C14" s="314" t="s">
        <v>419</v>
      </c>
      <c r="D14" s="315"/>
      <c r="E14" s="315"/>
      <c r="F14" s="316"/>
      <c r="G14" s="50"/>
    </row>
    <row r="15" spans="1:11" ht="39.75" customHeight="1" x14ac:dyDescent="0.2">
      <c r="A15" s="284" t="s">
        <v>100</v>
      </c>
      <c r="B15" s="284"/>
      <c r="C15" s="285" t="s">
        <v>420</v>
      </c>
      <c r="D15" s="285"/>
      <c r="E15" s="285"/>
      <c r="F15" s="285"/>
      <c r="G15" s="50"/>
    </row>
    <row r="16" spans="1:11" ht="39.75" customHeight="1" x14ac:dyDescent="0.2">
      <c r="A16" s="284" t="s">
        <v>227</v>
      </c>
      <c r="B16" s="284"/>
      <c r="C16" s="285" t="s">
        <v>423</v>
      </c>
      <c r="D16" s="285"/>
      <c r="E16" s="285"/>
      <c r="F16" s="285"/>
      <c r="G16" s="50"/>
    </row>
    <row r="17" spans="1:17" ht="39.75" customHeight="1" x14ac:dyDescent="0.2">
      <c r="A17" s="277" t="s">
        <v>103</v>
      </c>
      <c r="B17" s="278"/>
      <c r="C17" s="281" t="s">
        <v>104</v>
      </c>
      <c r="D17" s="282"/>
      <c r="E17" s="282"/>
      <c r="F17" s="283"/>
      <c r="G17" s="50"/>
    </row>
    <row r="18" spans="1:17" ht="39.75" customHeight="1" x14ac:dyDescent="0.2">
      <c r="A18" s="279"/>
      <c r="B18" s="280"/>
      <c r="C18" s="281" t="s">
        <v>105</v>
      </c>
      <c r="D18" s="282"/>
      <c r="E18" s="282"/>
      <c r="F18" s="283"/>
      <c r="G18" s="50"/>
    </row>
    <row r="19" spans="1:17" ht="16.149999999999999" customHeight="1" x14ac:dyDescent="0.2">
      <c r="A19" s="50"/>
      <c r="B19" s="50"/>
      <c r="C19" s="50"/>
      <c r="D19" s="50"/>
      <c r="E19" s="50"/>
      <c r="F19" s="50"/>
      <c r="G19" s="50"/>
    </row>
    <row r="20" spans="1:17" ht="40.15" customHeight="1" x14ac:dyDescent="0.2">
      <c r="A20" s="317" t="s">
        <v>228</v>
      </c>
      <c r="B20" s="318"/>
      <c r="C20" s="318"/>
      <c r="D20" s="318"/>
      <c r="E20" s="318"/>
      <c r="F20" s="318"/>
      <c r="G20" s="318"/>
      <c r="H20" s="318"/>
      <c r="I20" s="318"/>
    </row>
    <row r="21" spans="1:17" s="45" customFormat="1" ht="33.75" customHeight="1" x14ac:dyDescent="0.2">
      <c r="A21" s="294"/>
      <c r="B21" s="295"/>
      <c r="C21" s="135" t="s">
        <v>107</v>
      </c>
      <c r="D21" s="135" t="s">
        <v>108</v>
      </c>
      <c r="E21" s="135" t="s">
        <v>229</v>
      </c>
      <c r="F21" s="85" t="s">
        <v>110</v>
      </c>
      <c r="G21" s="85" t="s">
        <v>111</v>
      </c>
      <c r="H21" s="85" t="s">
        <v>112</v>
      </c>
      <c r="I21" s="85" t="s">
        <v>113</v>
      </c>
      <c r="K21"/>
      <c r="L21"/>
      <c r="M21"/>
      <c r="N21"/>
      <c r="O21"/>
      <c r="P21"/>
      <c r="Q21"/>
    </row>
    <row r="22" spans="1:17" s="45" customFormat="1" ht="33.75" customHeight="1" x14ac:dyDescent="0.2">
      <c r="A22" s="289" t="s">
        <v>114</v>
      </c>
      <c r="B22" s="290"/>
      <c r="C22" s="111">
        <f>D228+E228+F228</f>
        <v>6381927.6900000013</v>
      </c>
      <c r="D22" s="111">
        <f>G228+H228+I228+J228+K228+O228+P228+Q228+R228</f>
        <v>5989282.290000001</v>
      </c>
      <c r="E22" s="111">
        <f>C228+D228+E228+F228+G228+H228+I228+J228+K228+O228+P228+Q228+R228</f>
        <v>9982192.2800000012</v>
      </c>
      <c r="F22" s="111">
        <f>G228+H228+I228+J228+K228</f>
        <v>3355227.7800000003</v>
      </c>
      <c r="G22" s="111">
        <f>L228+N228</f>
        <v>6105316.4616342504</v>
      </c>
      <c r="H22" s="111">
        <f>O228+P228+Q228+R228</f>
        <v>2634054.5100000002</v>
      </c>
      <c r="I22" s="111">
        <f>T228</f>
        <v>-4719730.75</v>
      </c>
      <c r="K22"/>
      <c r="L22"/>
      <c r="M22"/>
      <c r="N22"/>
      <c r="O22"/>
      <c r="P22"/>
      <c r="Q22"/>
    </row>
    <row r="23" spans="1:17" s="45" customFormat="1" ht="33.75" customHeight="1" x14ac:dyDescent="0.2">
      <c r="A23" s="312" t="s">
        <v>115</v>
      </c>
      <c r="B23" s="313"/>
      <c r="C23" s="112">
        <f t="shared" ref="C23:I23" si="0">C22/$C$6</f>
        <v>538.46841798852529</v>
      </c>
      <c r="D23" s="112">
        <f t="shared" si="0"/>
        <v>505.33937647654415</v>
      </c>
      <c r="E23" s="112">
        <f t="shared" si="0"/>
        <v>842.23694566317931</v>
      </c>
      <c r="F23" s="112">
        <f t="shared" si="0"/>
        <v>283.09380526493419</v>
      </c>
      <c r="G23" s="112">
        <f t="shared" si="0"/>
        <v>515.1296373299233</v>
      </c>
      <c r="H23" s="112">
        <f t="shared" si="0"/>
        <v>222.24557121160987</v>
      </c>
      <c r="I23" s="112">
        <f t="shared" si="0"/>
        <v>-398.22230425244686</v>
      </c>
      <c r="K23"/>
      <c r="L23"/>
      <c r="M23"/>
      <c r="N23"/>
      <c r="O23"/>
      <c r="P23"/>
      <c r="Q23"/>
    </row>
    <row r="24" spans="1:17" s="45" customFormat="1" ht="33.75" customHeight="1" x14ac:dyDescent="0.2">
      <c r="A24" s="289" t="s">
        <v>116</v>
      </c>
      <c r="B24" s="290"/>
      <c r="C24" s="419" t="s">
        <v>268</v>
      </c>
      <c r="D24" s="420"/>
      <c r="E24" s="421"/>
      <c r="F24" s="422"/>
      <c r="G24" s="423"/>
      <c r="H24" s="423"/>
      <c r="I24" s="424"/>
      <c r="K24"/>
      <c r="L24"/>
      <c r="M24"/>
      <c r="N24"/>
      <c r="O24"/>
      <c r="P24"/>
      <c r="Q24"/>
    </row>
    <row r="25" spans="1:17" s="45" customFormat="1" ht="33.75" customHeight="1" x14ac:dyDescent="0.2">
      <c r="A25" s="289" t="s">
        <v>230</v>
      </c>
      <c r="B25" s="290"/>
      <c r="C25" s="136" t="str">
        <f>VLOOKUP($C$24,'WLC benchmarks'!$B$10:$E$13,2, TRUE)</f>
        <v>&lt;950</v>
      </c>
      <c r="D25" s="136" t="str">
        <f>VLOOKUP($C$24,'WLC benchmarks'!$B$10:$E$13,3, TRUE)</f>
        <v>&lt;450</v>
      </c>
      <c r="E25" s="136" t="str">
        <f>VLOOKUP($C$24,'WLC benchmarks'!$B$10:$E$13,4, TRUE)</f>
        <v>&lt;1400</v>
      </c>
      <c r="F25" s="425"/>
      <c r="G25" s="426"/>
      <c r="H25" s="426"/>
      <c r="I25" s="427"/>
      <c r="K25"/>
      <c r="L25"/>
      <c r="M25"/>
      <c r="N25"/>
      <c r="O25"/>
      <c r="P25"/>
      <c r="Q25"/>
    </row>
    <row r="26" spans="1:17" s="45" customFormat="1" ht="33.75" customHeight="1" x14ac:dyDescent="0.2">
      <c r="A26" s="289" t="s">
        <v>119</v>
      </c>
      <c r="B26" s="290"/>
      <c r="C26" s="136" t="str">
        <f>VLOOKUP($C$24,'WLC benchmarks'!$B$16:$E$19,2, TRUE)</f>
        <v>&lt;600</v>
      </c>
      <c r="D26" s="136" t="str">
        <f>VLOOKUP($C$24,'WLC benchmarks'!$B$16:$E$19,3, TRUE)</f>
        <v>&lt;370</v>
      </c>
      <c r="E26" s="136" t="str">
        <f>VLOOKUP($C$24,'WLC benchmarks'!$B$16:$E$19,4, TRUE)</f>
        <v>&lt;970</v>
      </c>
      <c r="F26" s="428"/>
      <c r="G26" s="429"/>
      <c r="H26" s="429"/>
      <c r="I26" s="430"/>
      <c r="K26"/>
      <c r="L26"/>
      <c r="M26"/>
      <c r="N26"/>
      <c r="O26"/>
      <c r="P26"/>
      <c r="Q26"/>
    </row>
    <row r="27" spans="1:17" ht="57.75" customHeight="1" x14ac:dyDescent="0.2">
      <c r="A27" s="289" t="s">
        <v>120</v>
      </c>
      <c r="B27" s="290"/>
      <c r="C27" s="285" t="s">
        <v>121</v>
      </c>
      <c r="D27" s="285"/>
      <c r="E27" s="285"/>
      <c r="F27" s="285"/>
      <c r="G27" s="285"/>
      <c r="H27" s="285"/>
      <c r="I27" s="285"/>
    </row>
    <row r="28" spans="1:17" ht="15.75" customHeight="1" x14ac:dyDescent="0.2">
      <c r="A28" s="54"/>
      <c r="B28" s="54"/>
      <c r="C28" s="44"/>
      <c r="D28" s="44"/>
      <c r="E28" s="44"/>
      <c r="F28" s="44"/>
      <c r="G28" s="50"/>
      <c r="H28" s="55"/>
    </row>
    <row r="29" spans="1:17" ht="15.75" customHeight="1" x14ac:dyDescent="0.2">
      <c r="A29" s="317" t="s">
        <v>122</v>
      </c>
      <c r="B29" s="318"/>
      <c r="C29" s="318"/>
      <c r="D29" s="318"/>
      <c r="E29" s="318"/>
      <c r="F29" s="318"/>
      <c r="G29" s="50"/>
      <c r="H29" s="55"/>
    </row>
    <row r="30" spans="1:17" ht="39" customHeight="1" x14ac:dyDescent="0.2">
      <c r="A30" s="284" t="s">
        <v>50</v>
      </c>
      <c r="B30" s="284"/>
      <c r="C30" s="285" t="s">
        <v>332</v>
      </c>
      <c r="D30" s="285"/>
      <c r="E30" s="285"/>
      <c r="F30" s="285"/>
      <c r="G30" s="50"/>
      <c r="H30" s="55"/>
    </row>
    <row r="31" spans="1:17" ht="42" customHeight="1" x14ac:dyDescent="0.2">
      <c r="A31" s="284" t="s">
        <v>52</v>
      </c>
      <c r="B31" s="284"/>
      <c r="C31" s="288">
        <v>39423</v>
      </c>
      <c r="D31" s="288"/>
      <c r="E31" s="288"/>
      <c r="F31" s="288"/>
      <c r="G31" s="50"/>
      <c r="H31" s="55"/>
    </row>
    <row r="32" spans="1:17" ht="39" customHeight="1" x14ac:dyDescent="0.2">
      <c r="A32" s="284" t="s">
        <v>54</v>
      </c>
      <c r="B32" s="284"/>
      <c r="C32" s="288" t="s">
        <v>331</v>
      </c>
      <c r="D32" s="288"/>
      <c r="E32" s="288"/>
      <c r="F32" s="288"/>
      <c r="G32" s="50"/>
      <c r="H32" s="55"/>
    </row>
    <row r="33" spans="1:47" ht="15.75" customHeight="1" x14ac:dyDescent="0.2">
      <c r="A33" s="54"/>
      <c r="B33" s="54"/>
      <c r="C33" s="44"/>
      <c r="D33" s="44"/>
      <c r="E33" s="44"/>
      <c r="F33" s="44"/>
      <c r="G33" s="50"/>
      <c r="H33" s="55"/>
    </row>
    <row r="34" spans="1:47" ht="40.5" customHeight="1" x14ac:dyDescent="0.2">
      <c r="A34" s="318" t="s">
        <v>125</v>
      </c>
      <c r="B34" s="362"/>
      <c r="C34" s="287" t="s">
        <v>126</v>
      </c>
      <c r="D34" s="287"/>
      <c r="E34" s="287"/>
      <c r="F34" s="57" t="s">
        <v>231</v>
      </c>
      <c r="G34" s="50"/>
      <c r="H34" s="55"/>
      <c r="I34" s="55"/>
      <c r="J34" s="53"/>
      <c r="K34" s="53"/>
      <c r="L34" s="53"/>
      <c r="M34" s="53"/>
      <c r="N34" s="56"/>
      <c r="O34" s="56"/>
      <c r="P34" s="56"/>
      <c r="Q34" s="56"/>
    </row>
    <row r="35" spans="1:47" ht="12.75" customHeight="1" x14ac:dyDescent="0.2">
      <c r="A35" s="318"/>
      <c r="B35" s="362"/>
      <c r="C35" s="281" t="s">
        <v>417</v>
      </c>
      <c r="D35" s="282"/>
      <c r="E35" s="283"/>
      <c r="F35" s="217">
        <v>32.950000000000003</v>
      </c>
      <c r="G35" s="50"/>
      <c r="H35" s="55"/>
      <c r="I35" s="55"/>
      <c r="J35" s="58"/>
      <c r="K35" s="58"/>
      <c r="L35" s="58"/>
      <c r="M35" s="58"/>
      <c r="N35" s="56"/>
      <c r="O35" s="56"/>
      <c r="P35" s="56"/>
      <c r="Q35" s="56"/>
    </row>
    <row r="36" spans="1:47" ht="12.75" customHeight="1" x14ac:dyDescent="0.2">
      <c r="A36" s="318"/>
      <c r="B36" s="362"/>
      <c r="C36" s="418" t="s">
        <v>416</v>
      </c>
      <c r="D36" s="418"/>
      <c r="E36" s="418"/>
      <c r="F36" s="217">
        <v>2.6</v>
      </c>
      <c r="G36" s="50"/>
      <c r="H36" s="55"/>
      <c r="I36" s="55"/>
      <c r="J36" s="53"/>
      <c r="K36" s="53"/>
      <c r="L36" s="53"/>
      <c r="M36" s="53"/>
      <c r="N36" s="56"/>
      <c r="O36" s="56"/>
      <c r="P36" s="56"/>
      <c r="Q36" s="56"/>
    </row>
    <row r="37" spans="1:47" s="45" customFormat="1" x14ac:dyDescent="0.2">
      <c r="A37" s="318"/>
      <c r="B37" s="362"/>
      <c r="C37" s="418" t="s">
        <v>428</v>
      </c>
      <c r="D37" s="418"/>
      <c r="E37" s="418"/>
      <c r="F37" s="217">
        <v>162.1</v>
      </c>
      <c r="H37" s="55"/>
      <c r="I37" s="55"/>
      <c r="J37" s="58"/>
      <c r="K37" s="58"/>
      <c r="L37" s="58"/>
      <c r="M37" s="58"/>
      <c r="N37" s="56"/>
      <c r="O37" s="56"/>
      <c r="P37" s="56"/>
      <c r="Q37" s="56"/>
    </row>
    <row r="38" spans="1:47" s="45" customFormat="1" x14ac:dyDescent="0.2">
      <c r="A38" s="395"/>
      <c r="B38" s="396"/>
      <c r="C38" s="418"/>
      <c r="D38" s="418"/>
      <c r="E38" s="418"/>
      <c r="F38" s="38"/>
      <c r="G38" s="50"/>
      <c r="H38" s="55"/>
      <c r="I38" s="55"/>
      <c r="J38" s="58"/>
      <c r="K38" s="58"/>
      <c r="L38" s="58"/>
      <c r="M38" s="58"/>
      <c r="N38" s="56"/>
      <c r="O38" s="56"/>
      <c r="P38" s="56"/>
      <c r="Q38" s="56"/>
    </row>
    <row r="39" spans="1:47" s="45" customFormat="1" x14ac:dyDescent="0.2">
      <c r="A39" s="50"/>
      <c r="B39" s="50"/>
      <c r="C39" s="50"/>
      <c r="D39" s="50"/>
      <c r="E39" s="50"/>
      <c r="F39" s="86"/>
      <c r="G39" s="50"/>
      <c r="H39" s="55"/>
      <c r="I39" s="55"/>
      <c r="J39" s="58"/>
      <c r="K39" s="58"/>
      <c r="L39" s="58"/>
      <c r="M39" s="58"/>
      <c r="N39" s="56"/>
      <c r="O39" s="56"/>
      <c r="P39" s="56"/>
      <c r="Q39" s="56"/>
    </row>
    <row r="40" spans="1:47" s="45" customFormat="1" ht="27.75" customHeight="1" x14ac:dyDescent="0.2">
      <c r="A40" s="318" t="s">
        <v>129</v>
      </c>
      <c r="B40" s="362"/>
      <c r="C40" s="287" t="s">
        <v>130</v>
      </c>
      <c r="D40" s="287"/>
      <c r="E40" s="287"/>
      <c r="F40" s="57" t="s">
        <v>131</v>
      </c>
      <c r="G40" s="50"/>
      <c r="H40" s="55"/>
      <c r="I40" s="55"/>
      <c r="J40" s="58"/>
      <c r="K40" s="58"/>
      <c r="L40" s="58"/>
      <c r="M40" s="58"/>
      <c r="N40" s="56"/>
      <c r="O40" s="56"/>
      <c r="P40" s="56"/>
      <c r="Q40" s="56"/>
    </row>
    <row r="41" spans="1:47" s="45" customFormat="1" x14ac:dyDescent="0.2">
      <c r="A41" s="318"/>
      <c r="B41" s="362"/>
      <c r="C41" s="288" t="s">
        <v>427</v>
      </c>
      <c r="D41" s="288"/>
      <c r="E41" s="288"/>
      <c r="F41" s="217">
        <v>17.7</v>
      </c>
      <c r="G41" s="50"/>
      <c r="H41" s="55"/>
      <c r="I41" s="55"/>
      <c r="J41" s="58"/>
      <c r="K41" s="58"/>
      <c r="L41" s="58"/>
      <c r="M41" s="58"/>
      <c r="N41" s="56"/>
      <c r="O41" s="56"/>
      <c r="P41" s="56"/>
      <c r="Q41" s="56"/>
    </row>
    <row r="42" spans="1:47" s="45" customFormat="1" x14ac:dyDescent="0.2">
      <c r="A42" s="318"/>
      <c r="B42" s="362"/>
      <c r="C42" s="288" t="s">
        <v>426</v>
      </c>
      <c r="D42" s="288"/>
      <c r="E42" s="288"/>
      <c r="F42" s="217">
        <v>71.900000000000006</v>
      </c>
      <c r="G42" s="50"/>
      <c r="H42" s="55"/>
      <c r="I42" s="55"/>
      <c r="J42" s="58"/>
      <c r="K42" s="58"/>
      <c r="L42" s="58"/>
      <c r="M42" s="58"/>
      <c r="N42" s="56"/>
      <c r="O42" s="56"/>
      <c r="P42" s="56"/>
      <c r="Q42" s="56"/>
    </row>
    <row r="43" spans="1:47" s="45" customFormat="1" x14ac:dyDescent="0.2">
      <c r="A43" s="318"/>
      <c r="B43" s="362"/>
      <c r="C43" s="314"/>
      <c r="D43" s="431"/>
      <c r="E43" s="432"/>
      <c r="F43" s="123"/>
      <c r="G43" s="50"/>
      <c r="H43" s="55"/>
      <c r="I43" s="55"/>
      <c r="J43" s="58"/>
      <c r="K43" s="58"/>
      <c r="L43" s="58"/>
      <c r="M43" s="58"/>
      <c r="N43" s="56"/>
      <c r="O43" s="56"/>
      <c r="P43" s="56"/>
      <c r="Q43" s="56"/>
    </row>
    <row r="44" spans="1:47" s="45" customFormat="1" x14ac:dyDescent="0.2">
      <c r="A44" s="318"/>
      <c r="B44" s="362"/>
      <c r="C44" s="314"/>
      <c r="D44" s="431"/>
      <c r="E44" s="432"/>
      <c r="F44" s="123"/>
      <c r="G44" s="50"/>
      <c r="H44" s="55"/>
      <c r="I44" s="55"/>
      <c r="J44" s="58"/>
      <c r="K44" s="58"/>
      <c r="L44" s="58"/>
      <c r="M44" s="58"/>
      <c r="N44" s="56"/>
      <c r="O44" s="56"/>
      <c r="P44" s="56"/>
      <c r="Q44" s="56"/>
    </row>
    <row r="45" spans="1:47" x14ac:dyDescent="0.2">
      <c r="B45" s="388"/>
      <c r="C45" s="388"/>
      <c r="D45" s="388"/>
      <c r="E45" s="388"/>
      <c r="F45" s="388"/>
    </row>
    <row r="46" spans="1:47" s="51" customFormat="1" ht="12.75" customHeight="1" x14ac:dyDescent="0.2">
      <c r="A46"/>
      <c r="B46" s="235"/>
      <c r="C46" s="235"/>
      <c r="D46" s="235"/>
      <c r="E46" s="235"/>
      <c r="F46" s="23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1" customFormat="1" ht="36.75" customHeight="1" x14ac:dyDescent="0.2">
      <c r="A47" s="389" t="s">
        <v>133</v>
      </c>
      <c r="B47" s="389"/>
      <c r="C47" s="255" t="s">
        <v>134</v>
      </c>
      <c r="D47" s="397"/>
      <c r="E47" s="259" t="s">
        <v>232</v>
      </c>
      <c r="F47" s="408" t="s">
        <v>136</v>
      </c>
      <c r="G47" s="409"/>
      <c r="H47" s="255" t="s">
        <v>137</v>
      </c>
      <c r="I47" s="256"/>
      <c r="J47"/>
      <c r="K47"/>
      <c r="L47"/>
      <c r="M47"/>
      <c r="N47"/>
      <c r="O47"/>
      <c r="P47"/>
      <c r="Q47"/>
      <c r="R47"/>
      <c r="S47"/>
      <c r="T47"/>
      <c r="U47"/>
      <c r="V47"/>
      <c r="W47"/>
      <c r="X47"/>
      <c r="Y47"/>
      <c r="Z47"/>
      <c r="AA47"/>
      <c r="AB47"/>
      <c r="AC47"/>
      <c r="AD47"/>
      <c r="AE47"/>
      <c r="AF47"/>
      <c r="AG47"/>
      <c r="AH47"/>
      <c r="AI47"/>
      <c r="AJ47"/>
      <c r="AK47"/>
      <c r="AL47"/>
      <c r="AM47"/>
    </row>
    <row r="48" spans="1:47" s="51" customFormat="1" ht="48.75" customHeight="1" x14ac:dyDescent="0.2">
      <c r="A48" s="257" t="s">
        <v>138</v>
      </c>
      <c r="B48" s="258"/>
      <c r="C48" s="63" t="s">
        <v>139</v>
      </c>
      <c r="D48" s="63" t="s">
        <v>140</v>
      </c>
      <c r="E48" s="260"/>
      <c r="F48" s="410"/>
      <c r="G48" s="411"/>
      <c r="H48" s="63" t="s">
        <v>141</v>
      </c>
      <c r="I48" s="63" t="s">
        <v>142</v>
      </c>
      <c r="J48"/>
      <c r="K48"/>
      <c r="L48"/>
      <c r="M48"/>
      <c r="N48"/>
      <c r="O48"/>
      <c r="P48"/>
      <c r="Q48"/>
      <c r="R48"/>
      <c r="S48"/>
      <c r="T48"/>
      <c r="U48"/>
      <c r="V48"/>
      <c r="W48"/>
      <c r="X48"/>
      <c r="Y48"/>
      <c r="Z48"/>
      <c r="AA48"/>
      <c r="AB48"/>
      <c r="AC48"/>
      <c r="AD48"/>
      <c r="AE48"/>
      <c r="AF48"/>
      <c r="AG48"/>
      <c r="AH48"/>
      <c r="AI48"/>
      <c r="AJ48"/>
      <c r="AK48"/>
      <c r="AL48"/>
      <c r="AM48"/>
    </row>
    <row r="49" spans="1:39" s="51" customFormat="1" ht="74.25" customHeight="1" x14ac:dyDescent="0.2">
      <c r="A49" s="401" t="s">
        <v>143</v>
      </c>
      <c r="B49" s="402"/>
      <c r="C49" s="64" t="s">
        <v>144</v>
      </c>
      <c r="D49" s="87" t="s">
        <v>145</v>
      </c>
      <c r="E49" s="405" t="s">
        <v>146</v>
      </c>
      <c r="F49" s="390" t="s">
        <v>147</v>
      </c>
      <c r="G49" s="391"/>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1" customFormat="1" ht="13.15" customHeight="1" x14ac:dyDescent="0.2">
      <c r="A50" s="403"/>
      <c r="B50" s="404"/>
      <c r="C50" s="66" t="s">
        <v>150</v>
      </c>
      <c r="D50" s="87" t="s">
        <v>151</v>
      </c>
      <c r="E50" s="406"/>
      <c r="F50" s="261"/>
      <c r="G50" s="392"/>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403"/>
      <c r="B51" s="404"/>
      <c r="C51" s="66" t="s">
        <v>154</v>
      </c>
      <c r="D51" s="88" t="s">
        <v>155</v>
      </c>
      <c r="E51" s="407"/>
      <c r="F51" s="393"/>
      <c r="G51" s="394"/>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1" customFormat="1" ht="30" customHeight="1" x14ac:dyDescent="0.2">
      <c r="A52" s="68">
        <v>0.1</v>
      </c>
      <c r="B52" s="69" t="s">
        <v>156</v>
      </c>
      <c r="C52" s="9"/>
      <c r="D52" s="9"/>
      <c r="E52" s="269"/>
      <c r="F52" s="108"/>
      <c r="G52" s="109"/>
      <c r="H52" s="11"/>
      <c r="I52" s="11"/>
      <c r="J52" s="263" t="s">
        <v>157</v>
      </c>
      <c r="K52" s="264"/>
      <c r="L52" s="264"/>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70">
        <v>0.2</v>
      </c>
      <c r="B53" s="71" t="s">
        <v>158</v>
      </c>
      <c r="C53" s="9"/>
      <c r="D53" s="9"/>
      <c r="E53" s="270"/>
      <c r="F53" s="265"/>
      <c r="G53" s="266"/>
      <c r="H53" s="11"/>
      <c r="I53" s="11"/>
      <c r="J53" s="261"/>
      <c r="K53" s="262"/>
      <c r="L53" s="262"/>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0.3</v>
      </c>
      <c r="B54" s="71" t="s">
        <v>159</v>
      </c>
      <c r="C54" s="9"/>
      <c r="D54" s="9"/>
      <c r="E54" s="270"/>
      <c r="F54" s="265"/>
      <c r="G54" s="266"/>
      <c r="H54" s="11"/>
      <c r="I54" s="11"/>
      <c r="J54" s="261"/>
      <c r="K54" s="262"/>
      <c r="L54" s="262"/>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0.4</v>
      </c>
      <c r="B55" s="71" t="s">
        <v>160</v>
      </c>
      <c r="C55" s="9"/>
      <c r="D55" s="9"/>
      <c r="E55" s="271"/>
      <c r="F55" s="265"/>
      <c r="G55" s="266"/>
      <c r="H55" s="11"/>
      <c r="I55" s="11"/>
      <c r="J55" s="261"/>
      <c r="K55" s="262"/>
      <c r="L55" s="262"/>
      <c r="M55"/>
      <c r="N55"/>
      <c r="O55"/>
      <c r="P55"/>
      <c r="Q55"/>
      <c r="R55"/>
      <c r="S55"/>
      <c r="T55"/>
      <c r="U55"/>
      <c r="V55"/>
      <c r="W55"/>
      <c r="X55"/>
      <c r="Y55"/>
      <c r="Z55"/>
      <c r="AA55"/>
      <c r="AB55"/>
      <c r="AC55"/>
      <c r="AD55"/>
      <c r="AE55"/>
      <c r="AF55"/>
      <c r="AG55"/>
      <c r="AH55"/>
      <c r="AI55"/>
      <c r="AJ55"/>
      <c r="AK55"/>
      <c r="AL55"/>
      <c r="AM55"/>
    </row>
    <row r="56" spans="1:39" s="51" customFormat="1" ht="30" customHeight="1" x14ac:dyDescent="0.2">
      <c r="A56" s="70">
        <v>1</v>
      </c>
      <c r="B56" s="71" t="s">
        <v>161</v>
      </c>
      <c r="C56" s="204" t="s">
        <v>302</v>
      </c>
      <c r="D56" s="10">
        <v>490400</v>
      </c>
      <c r="E56" s="9" t="s">
        <v>303</v>
      </c>
      <c r="F56" s="267" t="s">
        <v>304</v>
      </c>
      <c r="G56" s="268"/>
      <c r="H56" s="11">
        <v>0</v>
      </c>
      <c r="I56" s="218">
        <f>D56</f>
        <v>490400</v>
      </c>
      <c r="J56" s="261"/>
      <c r="K56" s="262"/>
      <c r="L56" s="262"/>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c r="B57" s="71"/>
      <c r="C57" s="204" t="s">
        <v>305</v>
      </c>
      <c r="D57" s="10">
        <v>5420256</v>
      </c>
      <c r="E57" s="9" t="s">
        <v>303</v>
      </c>
      <c r="F57" s="208" t="s">
        <v>306</v>
      </c>
      <c r="G57" s="209"/>
      <c r="H57" s="11">
        <f>D57</f>
        <v>5420256</v>
      </c>
      <c r="I57" s="218">
        <v>0</v>
      </c>
      <c r="J57" s="110"/>
      <c r="K57" s="94"/>
      <c r="L57" s="94"/>
      <c r="M57"/>
      <c r="N57"/>
      <c r="O57"/>
      <c r="P57"/>
      <c r="Q57"/>
      <c r="R57"/>
      <c r="S57"/>
      <c r="T57"/>
      <c r="U57"/>
      <c r="V57"/>
      <c r="W57"/>
      <c r="X57"/>
      <c r="Y57"/>
      <c r="Z57"/>
      <c r="AA57"/>
      <c r="AB57"/>
      <c r="AC57"/>
      <c r="AD57"/>
      <c r="AE57"/>
      <c r="AF57"/>
      <c r="AG57"/>
      <c r="AH57"/>
      <c r="AI57"/>
      <c r="AJ57"/>
      <c r="AK57"/>
      <c r="AL57"/>
      <c r="AM57"/>
    </row>
    <row r="58" spans="1:39" s="51" customFormat="1" ht="30" customHeight="1" x14ac:dyDescent="0.2">
      <c r="A58" s="70"/>
      <c r="B58" s="71"/>
      <c r="C58" s="204" t="s">
        <v>322</v>
      </c>
      <c r="D58" s="10">
        <v>238585.2</v>
      </c>
      <c r="E58" s="9" t="s">
        <v>303</v>
      </c>
      <c r="F58" s="208" t="s">
        <v>306</v>
      </c>
      <c r="G58" s="209"/>
      <c r="H58" s="11">
        <f>D58</f>
        <v>238585.2</v>
      </c>
      <c r="I58" s="218">
        <v>0</v>
      </c>
      <c r="J58" s="110"/>
      <c r="K58" s="94"/>
      <c r="L58" s="94"/>
      <c r="M58"/>
      <c r="N58"/>
      <c r="O58"/>
      <c r="P58"/>
      <c r="Q58"/>
      <c r="R58"/>
      <c r="S58"/>
      <c r="T58"/>
      <c r="U58"/>
      <c r="V58"/>
      <c r="W58"/>
      <c r="X58"/>
      <c r="Y58"/>
      <c r="Z58"/>
      <c r="AA58"/>
      <c r="AB58"/>
      <c r="AC58"/>
      <c r="AD58"/>
      <c r="AE58"/>
      <c r="AF58"/>
      <c r="AG58"/>
      <c r="AH58"/>
      <c r="AI58"/>
      <c r="AJ58"/>
      <c r="AK58"/>
      <c r="AL58"/>
      <c r="AM58"/>
    </row>
    <row r="59" spans="1:39" s="51" customFormat="1" ht="30" customHeight="1" x14ac:dyDescent="0.2">
      <c r="A59" s="70"/>
      <c r="B59" s="71"/>
      <c r="C59" s="204" t="s">
        <v>314</v>
      </c>
      <c r="D59" s="10">
        <f>90.75*40</f>
        <v>3630</v>
      </c>
      <c r="E59" s="9" t="s">
        <v>303</v>
      </c>
      <c r="F59" s="208" t="s">
        <v>307</v>
      </c>
      <c r="G59" s="209"/>
      <c r="H59" s="11">
        <v>0</v>
      </c>
      <c r="I59" s="218">
        <v>3630</v>
      </c>
      <c r="J59" s="110"/>
      <c r="K59" s="94"/>
      <c r="L59" s="94"/>
      <c r="M59"/>
      <c r="N59"/>
      <c r="O59"/>
      <c r="P59"/>
      <c r="Q59"/>
      <c r="R59"/>
      <c r="S59"/>
      <c r="T59"/>
      <c r="U59"/>
      <c r="V59"/>
      <c r="W59"/>
      <c r="X59"/>
      <c r="Y59"/>
      <c r="Z59"/>
      <c r="AA59"/>
      <c r="AB59"/>
      <c r="AC59"/>
      <c r="AD59"/>
      <c r="AE59"/>
      <c r="AF59"/>
      <c r="AG59"/>
      <c r="AH59"/>
      <c r="AI59"/>
      <c r="AJ59"/>
      <c r="AK59"/>
      <c r="AL59"/>
      <c r="AM59"/>
    </row>
    <row r="60" spans="1:39" s="51" customFormat="1" ht="30" customHeight="1" x14ac:dyDescent="0.2">
      <c r="A60" s="70"/>
      <c r="B60" s="71"/>
      <c r="C60" s="204" t="s">
        <v>308</v>
      </c>
      <c r="D60" s="10">
        <f>1.98*360</f>
        <v>712.8</v>
      </c>
      <c r="E60" s="9" t="s">
        <v>303</v>
      </c>
      <c r="F60" s="267" t="s">
        <v>309</v>
      </c>
      <c r="G60" s="268"/>
      <c r="H60" s="11">
        <v>0</v>
      </c>
      <c r="I60" s="218">
        <v>0</v>
      </c>
      <c r="J60" s="110"/>
      <c r="K60" s="94"/>
      <c r="L60" s="94"/>
      <c r="M60"/>
      <c r="N60"/>
      <c r="O60"/>
      <c r="P60"/>
      <c r="Q60"/>
      <c r="R60"/>
      <c r="S60"/>
      <c r="T60"/>
      <c r="U60"/>
      <c r="V60"/>
      <c r="W60"/>
      <c r="X60"/>
      <c r="Y60"/>
      <c r="Z60"/>
      <c r="AA60"/>
      <c r="AB60"/>
      <c r="AC60"/>
      <c r="AD60"/>
      <c r="AE60"/>
      <c r="AF60"/>
      <c r="AG60"/>
      <c r="AH60"/>
      <c r="AI60"/>
      <c r="AJ60"/>
      <c r="AK60"/>
      <c r="AL60"/>
      <c r="AM60"/>
    </row>
    <row r="61" spans="1:39" s="51" customFormat="1" ht="30" customHeight="1" x14ac:dyDescent="0.2">
      <c r="A61" s="70">
        <v>2.1</v>
      </c>
      <c r="B61" s="71" t="s">
        <v>162</v>
      </c>
      <c r="C61" s="204" t="s">
        <v>310</v>
      </c>
      <c r="D61" s="10">
        <v>388176.5</v>
      </c>
      <c r="E61" s="9" t="s">
        <v>303</v>
      </c>
      <c r="F61" s="267" t="s">
        <v>336</v>
      </c>
      <c r="G61" s="268"/>
      <c r="H61" s="11">
        <f>D61</f>
        <v>388176.5</v>
      </c>
      <c r="I61" s="218">
        <v>0</v>
      </c>
      <c r="J61" s="261"/>
      <c r="K61" s="262"/>
      <c r="L61" s="262"/>
      <c r="M61"/>
      <c r="N61"/>
      <c r="O61"/>
      <c r="P61"/>
      <c r="Q61"/>
      <c r="R61"/>
      <c r="S61"/>
      <c r="T61"/>
      <c r="U61"/>
      <c r="V61"/>
      <c r="W61"/>
      <c r="X61"/>
      <c r="Y61"/>
      <c r="Z61"/>
      <c r="AA61"/>
      <c r="AB61"/>
      <c r="AC61"/>
      <c r="AD61"/>
      <c r="AE61"/>
      <c r="AF61"/>
      <c r="AG61"/>
      <c r="AH61"/>
      <c r="AI61"/>
      <c r="AJ61"/>
      <c r="AK61"/>
      <c r="AL61"/>
      <c r="AM61"/>
    </row>
    <row r="62" spans="1:39" s="51" customFormat="1" ht="30" customHeight="1" x14ac:dyDescent="0.2">
      <c r="A62" s="70"/>
      <c r="B62" s="71"/>
      <c r="C62" s="204" t="s">
        <v>315</v>
      </c>
      <c r="D62" s="10">
        <f>138624+9756.6</f>
        <v>148380.6</v>
      </c>
      <c r="E62" s="9" t="s">
        <v>303</v>
      </c>
      <c r="F62" s="208" t="s">
        <v>304</v>
      </c>
      <c r="G62" s="209"/>
      <c r="H62" s="11">
        <v>0</v>
      </c>
      <c r="I62" s="218">
        <f>D62</f>
        <v>148380.6</v>
      </c>
      <c r="J62" s="110"/>
      <c r="K62" s="94"/>
      <c r="L62" s="94"/>
      <c r="M62"/>
      <c r="N62"/>
      <c r="O62"/>
      <c r="P62"/>
      <c r="Q62"/>
      <c r="R62"/>
      <c r="S62"/>
      <c r="T62"/>
      <c r="U62"/>
      <c r="V62"/>
      <c r="W62"/>
      <c r="X62"/>
      <c r="Y62"/>
      <c r="Z62"/>
      <c r="AA62"/>
      <c r="AB62"/>
      <c r="AC62"/>
      <c r="AD62"/>
      <c r="AE62"/>
      <c r="AF62"/>
      <c r="AG62"/>
      <c r="AH62"/>
      <c r="AI62"/>
      <c r="AJ62"/>
      <c r="AK62"/>
      <c r="AL62"/>
      <c r="AM62"/>
    </row>
    <row r="63" spans="1:39" s="51" customFormat="1" ht="30" customHeight="1" x14ac:dyDescent="0.2">
      <c r="A63" s="70"/>
      <c r="B63" s="71"/>
      <c r="C63" s="204" t="s">
        <v>322</v>
      </c>
      <c r="D63" s="10">
        <f>2793985+156105.1</f>
        <v>2950090.1</v>
      </c>
      <c r="E63" s="9" t="s">
        <v>303</v>
      </c>
      <c r="F63" s="208" t="s">
        <v>306</v>
      </c>
      <c r="G63" s="209"/>
      <c r="H63" s="11">
        <f>D63</f>
        <v>2950090.1</v>
      </c>
      <c r="I63" s="218">
        <v>0</v>
      </c>
      <c r="J63" s="110"/>
      <c r="K63" s="94"/>
      <c r="L63" s="94"/>
      <c r="M63"/>
      <c r="N63"/>
      <c r="O63"/>
      <c r="P63"/>
      <c r="Q63"/>
      <c r="R63"/>
      <c r="S63"/>
      <c r="T63"/>
      <c r="U63"/>
      <c r="V63"/>
      <c r="W63"/>
      <c r="X63"/>
      <c r="Y63"/>
      <c r="Z63"/>
      <c r="AA63"/>
      <c r="AB63"/>
      <c r="AC63"/>
      <c r="AD63"/>
      <c r="AE63"/>
      <c r="AF63"/>
      <c r="AG63"/>
      <c r="AH63"/>
      <c r="AI63"/>
      <c r="AJ63"/>
      <c r="AK63"/>
      <c r="AL63"/>
      <c r="AM63"/>
    </row>
    <row r="64" spans="1:39" s="51" customFormat="1" ht="30.75" customHeight="1" x14ac:dyDescent="0.2">
      <c r="A64" s="70">
        <v>2.2000000000000002</v>
      </c>
      <c r="B64" s="71" t="s">
        <v>163</v>
      </c>
      <c r="C64" s="204" t="s">
        <v>316</v>
      </c>
      <c r="D64" s="10">
        <v>1064550</v>
      </c>
      <c r="E64" s="9" t="s">
        <v>303</v>
      </c>
      <c r="F64" s="267" t="s">
        <v>317</v>
      </c>
      <c r="G64" s="268"/>
      <c r="H64" s="11">
        <f>D64*0.9</f>
        <v>958095</v>
      </c>
      <c r="I64" s="218">
        <f>D64*0.1</f>
        <v>106455</v>
      </c>
      <c r="J64" s="261"/>
      <c r="K64" s="262"/>
      <c r="L64" s="262"/>
      <c r="M64"/>
      <c r="N64"/>
      <c r="O64"/>
      <c r="P64"/>
      <c r="Q64"/>
      <c r="R64"/>
      <c r="S64"/>
      <c r="T64"/>
      <c r="U64"/>
      <c r="V64"/>
      <c r="W64"/>
      <c r="X64"/>
      <c r="Y64"/>
      <c r="Z64"/>
      <c r="AA64"/>
      <c r="AB64"/>
      <c r="AC64"/>
      <c r="AD64"/>
      <c r="AE64"/>
      <c r="AF64"/>
      <c r="AG64"/>
      <c r="AH64"/>
      <c r="AI64"/>
      <c r="AJ64"/>
      <c r="AK64"/>
      <c r="AL64"/>
      <c r="AM64"/>
    </row>
    <row r="65" spans="1:39" s="51" customFormat="1" ht="30.75" customHeight="1" x14ac:dyDescent="0.2">
      <c r="A65" s="70"/>
      <c r="B65" s="71"/>
      <c r="C65" s="204" t="s">
        <v>305</v>
      </c>
      <c r="D65" s="10">
        <v>839928.00000000012</v>
      </c>
      <c r="E65" s="9" t="s">
        <v>303</v>
      </c>
      <c r="F65" s="208" t="s">
        <v>306</v>
      </c>
      <c r="G65" s="209"/>
      <c r="H65" s="11">
        <v>0</v>
      </c>
      <c r="I65" s="218">
        <f>D65</f>
        <v>839928.00000000012</v>
      </c>
      <c r="J65" s="110"/>
      <c r="K65" s="94"/>
      <c r="L65" s="94"/>
      <c r="M65"/>
      <c r="N65"/>
      <c r="O65"/>
      <c r="P65"/>
      <c r="Q65"/>
      <c r="R65"/>
      <c r="S65"/>
      <c r="T65"/>
      <c r="U65"/>
      <c r="V65"/>
      <c r="W65"/>
      <c r="X65"/>
      <c r="Y65"/>
      <c r="Z65"/>
      <c r="AA65"/>
      <c r="AB65"/>
      <c r="AC65"/>
      <c r="AD65"/>
      <c r="AE65"/>
      <c r="AF65"/>
      <c r="AG65"/>
      <c r="AH65"/>
      <c r="AI65"/>
      <c r="AJ65"/>
      <c r="AK65"/>
      <c r="AL65"/>
      <c r="AM65"/>
    </row>
    <row r="66" spans="1:39" s="51" customFormat="1" ht="30.75" customHeight="1" x14ac:dyDescent="0.2">
      <c r="A66" s="70"/>
      <c r="B66" s="71"/>
      <c r="C66" s="204" t="s">
        <v>315</v>
      </c>
      <c r="D66" s="10">
        <v>47250</v>
      </c>
      <c r="E66" s="9" t="s">
        <v>303</v>
      </c>
      <c r="F66" s="208" t="s">
        <v>304</v>
      </c>
      <c r="G66" s="209"/>
      <c r="H66" s="11">
        <v>0</v>
      </c>
      <c r="I66" s="218">
        <f>D66</f>
        <v>47250</v>
      </c>
      <c r="J66" s="110"/>
      <c r="K66" s="94"/>
      <c r="L66" s="94"/>
      <c r="M66"/>
      <c r="N66"/>
      <c r="O66"/>
      <c r="P66"/>
      <c r="Q66"/>
      <c r="R66"/>
      <c r="S66"/>
      <c r="T66"/>
      <c r="U66"/>
      <c r="V66"/>
      <c r="W66"/>
      <c r="X66"/>
      <c r="Y66"/>
      <c r="Z66"/>
      <c r="AA66"/>
      <c r="AB66"/>
      <c r="AC66"/>
      <c r="AD66"/>
      <c r="AE66"/>
      <c r="AF66"/>
      <c r="AG66"/>
      <c r="AH66"/>
      <c r="AI66"/>
      <c r="AJ66"/>
      <c r="AK66"/>
      <c r="AL66"/>
      <c r="AM66"/>
    </row>
    <row r="67" spans="1:39" s="51" customFormat="1" ht="30.75" customHeight="1" x14ac:dyDescent="0.2">
      <c r="A67" s="70"/>
      <c r="B67" s="71"/>
      <c r="C67" s="204" t="s">
        <v>318</v>
      </c>
      <c r="D67" s="10">
        <f>1400*369.53</f>
        <v>517341.99999999994</v>
      </c>
      <c r="E67" s="9" t="s">
        <v>303</v>
      </c>
      <c r="F67" s="208" t="s">
        <v>317</v>
      </c>
      <c r="G67" s="209"/>
      <c r="H67" s="11">
        <f>D67*0.9</f>
        <v>465607.79999999993</v>
      </c>
      <c r="I67" s="218">
        <f>D67*0.1</f>
        <v>51734.2</v>
      </c>
      <c r="J67" s="110"/>
      <c r="K67" s="94"/>
      <c r="L67" s="94"/>
      <c r="M67"/>
      <c r="N67"/>
      <c r="O67"/>
      <c r="P67"/>
      <c r="Q67"/>
      <c r="R67"/>
      <c r="S67"/>
      <c r="T67"/>
      <c r="U67"/>
      <c r="V67"/>
      <c r="W67"/>
      <c r="X67"/>
      <c r="Y67"/>
      <c r="Z67"/>
      <c r="AA67"/>
      <c r="AB67"/>
      <c r="AC67"/>
      <c r="AD67"/>
      <c r="AE67"/>
      <c r="AF67"/>
      <c r="AG67"/>
      <c r="AH67"/>
      <c r="AI67"/>
      <c r="AJ67"/>
      <c r="AK67"/>
      <c r="AL67"/>
      <c r="AM67"/>
    </row>
    <row r="68" spans="1:39" s="51" customFormat="1" ht="30.75" customHeight="1" x14ac:dyDescent="0.2">
      <c r="A68" s="70"/>
      <c r="B68" s="71"/>
      <c r="C68" s="204" t="s">
        <v>319</v>
      </c>
      <c r="D68" s="10">
        <v>119550</v>
      </c>
      <c r="E68" s="9" t="s">
        <v>303</v>
      </c>
      <c r="F68" s="208" t="s">
        <v>309</v>
      </c>
      <c r="G68" s="209"/>
      <c r="H68" s="11">
        <v>0</v>
      </c>
      <c r="I68" s="218">
        <v>0</v>
      </c>
      <c r="J68" s="110"/>
      <c r="K68" s="94"/>
      <c r="L68" s="94"/>
      <c r="M68"/>
      <c r="N68"/>
      <c r="O68"/>
      <c r="P68"/>
      <c r="Q68"/>
      <c r="R68"/>
      <c r="S68"/>
      <c r="T68"/>
      <c r="U68"/>
      <c r="V68"/>
      <c r="W68"/>
      <c r="X68"/>
      <c r="Y68"/>
      <c r="Z68"/>
      <c r="AA68"/>
      <c r="AB68"/>
      <c r="AC68"/>
      <c r="AD68"/>
      <c r="AE68"/>
      <c r="AF68"/>
      <c r="AG68"/>
      <c r="AH68"/>
      <c r="AI68"/>
      <c r="AJ68"/>
      <c r="AK68"/>
      <c r="AL68"/>
      <c r="AM68"/>
    </row>
    <row r="69" spans="1:39" s="51" customFormat="1" ht="30.75" customHeight="1" x14ac:dyDescent="0.2">
      <c r="A69" s="70"/>
      <c r="B69" s="71"/>
      <c r="C69" s="204" t="s">
        <v>320</v>
      </c>
      <c r="D69" s="10">
        <v>8367</v>
      </c>
      <c r="E69" s="9" t="s">
        <v>303</v>
      </c>
      <c r="F69" s="208" t="s">
        <v>369</v>
      </c>
      <c r="G69" s="209"/>
      <c r="H69" s="11">
        <v>0</v>
      </c>
      <c r="I69" s="218">
        <f>D69</f>
        <v>8367</v>
      </c>
      <c r="J69" s="110"/>
      <c r="K69" s="94"/>
      <c r="L69" s="94"/>
      <c r="M69"/>
      <c r="N69"/>
      <c r="O69"/>
      <c r="P69"/>
      <c r="Q69"/>
      <c r="R69"/>
      <c r="S69"/>
      <c r="T69"/>
      <c r="U69"/>
      <c r="V69"/>
      <c r="W69"/>
      <c r="X69"/>
      <c r="Y69"/>
      <c r="Z69"/>
      <c r="AA69"/>
      <c r="AB69"/>
      <c r="AC69"/>
      <c r="AD69"/>
      <c r="AE69"/>
      <c r="AF69"/>
      <c r="AG69"/>
      <c r="AH69"/>
      <c r="AI69"/>
      <c r="AJ69"/>
      <c r="AK69"/>
      <c r="AL69"/>
      <c r="AM69"/>
    </row>
    <row r="70" spans="1:39" s="51" customFormat="1" ht="30.75" customHeight="1" x14ac:dyDescent="0.2">
      <c r="A70" s="70"/>
      <c r="B70" s="71"/>
      <c r="C70" s="211" t="s">
        <v>311</v>
      </c>
      <c r="D70" s="10">
        <v>6264.3</v>
      </c>
      <c r="E70" s="9" t="s">
        <v>303</v>
      </c>
      <c r="F70" s="208" t="s">
        <v>304</v>
      </c>
      <c r="G70" s="209"/>
      <c r="H70" s="11">
        <v>0</v>
      </c>
      <c r="I70" s="218">
        <f>D70</f>
        <v>6264.3</v>
      </c>
      <c r="J70" s="110"/>
      <c r="K70" s="94"/>
      <c r="L70" s="94"/>
      <c r="M70"/>
      <c r="N70"/>
      <c r="O70"/>
      <c r="P70"/>
      <c r="Q70"/>
      <c r="R70"/>
      <c r="S70"/>
      <c r="T70"/>
      <c r="U70"/>
      <c r="V70"/>
      <c r="W70"/>
      <c r="X70"/>
      <c r="Y70"/>
      <c r="Z70"/>
      <c r="AA70"/>
      <c r="AB70"/>
      <c r="AC70"/>
      <c r="AD70"/>
      <c r="AE70"/>
      <c r="AF70"/>
      <c r="AG70"/>
      <c r="AH70"/>
      <c r="AI70"/>
      <c r="AJ70"/>
      <c r="AK70"/>
      <c r="AL70"/>
      <c r="AM70"/>
    </row>
    <row r="71" spans="1:39" s="51" customFormat="1" ht="30.75" customHeight="1" x14ac:dyDescent="0.2">
      <c r="A71" s="70"/>
      <c r="B71" s="71"/>
      <c r="C71" s="211" t="s">
        <v>323</v>
      </c>
      <c r="D71" s="10">
        <v>2625.0400000000004</v>
      </c>
      <c r="E71" s="9" t="s">
        <v>303</v>
      </c>
      <c r="F71" s="208" t="s">
        <v>369</v>
      </c>
      <c r="G71" s="209"/>
      <c r="H71" s="11">
        <v>0</v>
      </c>
      <c r="I71" s="218">
        <f>D71</f>
        <v>2625.0400000000004</v>
      </c>
      <c r="J71" s="110"/>
      <c r="K71" s="94"/>
      <c r="L71" s="94"/>
      <c r="M71"/>
      <c r="N71"/>
      <c r="O71"/>
      <c r="P71"/>
      <c r="Q71"/>
      <c r="R71"/>
      <c r="S71"/>
      <c r="T71"/>
      <c r="U71"/>
      <c r="V71"/>
      <c r="W71"/>
      <c r="X71"/>
      <c r="Y71"/>
      <c r="Z71"/>
      <c r="AA71"/>
      <c r="AB71"/>
      <c r="AC71"/>
      <c r="AD71"/>
      <c r="AE71"/>
      <c r="AF71"/>
      <c r="AG71"/>
      <c r="AH71"/>
      <c r="AI71"/>
      <c r="AJ71"/>
      <c r="AK71"/>
      <c r="AL71"/>
      <c r="AM71"/>
    </row>
    <row r="72" spans="1:39" s="51" customFormat="1" ht="30.75" customHeight="1" x14ac:dyDescent="0.2">
      <c r="A72" s="70"/>
      <c r="B72" s="71"/>
      <c r="C72" s="211" t="s">
        <v>324</v>
      </c>
      <c r="D72" s="10">
        <v>11216.080000000002</v>
      </c>
      <c r="E72" s="9" t="s">
        <v>326</v>
      </c>
      <c r="F72" s="208" t="s">
        <v>333</v>
      </c>
      <c r="G72" s="209"/>
      <c r="H72" s="11">
        <v>0</v>
      </c>
      <c r="I72" s="218">
        <f>D72*0.2</f>
        <v>2243.2160000000003</v>
      </c>
      <c r="J72" s="110"/>
      <c r="K72" s="94"/>
      <c r="L72" s="94"/>
      <c r="M72"/>
      <c r="N72"/>
      <c r="O72"/>
      <c r="P72"/>
      <c r="Q72"/>
      <c r="R72"/>
      <c r="S72"/>
      <c r="T72"/>
      <c r="U72"/>
      <c r="V72"/>
      <c r="W72"/>
      <c r="X72"/>
      <c r="Y72"/>
      <c r="Z72"/>
      <c r="AA72"/>
      <c r="AB72"/>
      <c r="AC72"/>
      <c r="AD72"/>
      <c r="AE72"/>
      <c r="AF72"/>
      <c r="AG72"/>
      <c r="AH72"/>
      <c r="AI72"/>
      <c r="AJ72"/>
      <c r="AK72"/>
      <c r="AL72"/>
      <c r="AM72"/>
    </row>
    <row r="73" spans="1:39" s="51" customFormat="1" ht="30.75" customHeight="1" x14ac:dyDescent="0.2">
      <c r="A73" s="70"/>
      <c r="B73" s="71"/>
      <c r="C73" s="211" t="s">
        <v>325</v>
      </c>
      <c r="D73" s="10">
        <v>1789.8</v>
      </c>
      <c r="E73" s="9" t="s">
        <v>303</v>
      </c>
      <c r="F73" s="208" t="s">
        <v>336</v>
      </c>
      <c r="G73" s="109"/>
      <c r="H73" s="11">
        <f>D73</f>
        <v>1789.8</v>
      </c>
      <c r="I73" s="218">
        <v>0</v>
      </c>
      <c r="J73" s="110"/>
      <c r="K73" s="94"/>
      <c r="L73" s="94"/>
      <c r="M73"/>
      <c r="N73"/>
      <c r="O73"/>
      <c r="P73"/>
      <c r="Q73"/>
      <c r="R73"/>
      <c r="S73"/>
      <c r="T73"/>
      <c r="U73"/>
      <c r="V73"/>
      <c r="W73"/>
      <c r="X73"/>
      <c r="Y73"/>
      <c r="Z73"/>
      <c r="AA73"/>
      <c r="AB73"/>
      <c r="AC73"/>
      <c r="AD73"/>
      <c r="AE73"/>
      <c r="AF73"/>
      <c r="AG73"/>
      <c r="AH73"/>
      <c r="AI73"/>
      <c r="AJ73"/>
      <c r="AK73"/>
      <c r="AL73"/>
      <c r="AM73"/>
    </row>
    <row r="74" spans="1:39" s="51" customFormat="1" ht="30.75" customHeight="1" x14ac:dyDescent="0.2">
      <c r="A74" s="70"/>
      <c r="B74" s="71"/>
      <c r="C74" s="212" t="s">
        <v>334</v>
      </c>
      <c r="D74" s="148">
        <v>429</v>
      </c>
      <c r="E74" s="9" t="s">
        <v>303</v>
      </c>
      <c r="F74" s="208" t="s">
        <v>304</v>
      </c>
      <c r="G74" s="109"/>
      <c r="H74" s="11">
        <v>0</v>
      </c>
      <c r="I74" s="218">
        <f>D74</f>
        <v>429</v>
      </c>
      <c r="J74" s="110"/>
      <c r="K74" s="94"/>
      <c r="L74" s="94"/>
      <c r="M74"/>
      <c r="N74"/>
      <c r="O74"/>
      <c r="P74"/>
      <c r="Q74"/>
      <c r="R74"/>
      <c r="S74"/>
      <c r="T74"/>
      <c r="U74"/>
      <c r="V74"/>
      <c r="W74"/>
      <c r="X74"/>
      <c r="Y74"/>
      <c r="Z74"/>
      <c r="AA74"/>
      <c r="AB74"/>
      <c r="AC74"/>
      <c r="AD74"/>
      <c r="AE74"/>
      <c r="AF74"/>
      <c r="AG74"/>
      <c r="AH74"/>
      <c r="AI74"/>
      <c r="AJ74"/>
      <c r="AK74"/>
      <c r="AL74"/>
      <c r="AM74"/>
    </row>
    <row r="75" spans="1:39" s="51" customFormat="1" ht="30.75" customHeight="1" x14ac:dyDescent="0.2">
      <c r="A75" s="70"/>
      <c r="B75" s="71"/>
      <c r="C75" s="212" t="s">
        <v>335</v>
      </c>
      <c r="D75" s="148">
        <v>21261</v>
      </c>
      <c r="E75" s="9" t="s">
        <v>303</v>
      </c>
      <c r="F75" s="208" t="s">
        <v>337</v>
      </c>
      <c r="G75" s="109"/>
      <c r="H75" s="11">
        <v>0</v>
      </c>
      <c r="I75" s="218">
        <f>D75</f>
        <v>21261</v>
      </c>
      <c r="J75" s="110"/>
      <c r="K75" s="94"/>
      <c r="L75" s="94"/>
      <c r="M75"/>
      <c r="N75"/>
      <c r="O75"/>
      <c r="P75"/>
      <c r="Q75"/>
      <c r="R75"/>
      <c r="S75"/>
      <c r="T75"/>
      <c r="U75"/>
      <c r="V75"/>
      <c r="W75"/>
      <c r="X75"/>
      <c r="Y75"/>
      <c r="Z75"/>
      <c r="AA75"/>
      <c r="AB75"/>
      <c r="AC75"/>
      <c r="AD75"/>
      <c r="AE75"/>
      <c r="AF75"/>
      <c r="AG75"/>
      <c r="AH75"/>
      <c r="AI75"/>
      <c r="AJ75"/>
      <c r="AK75"/>
      <c r="AL75"/>
      <c r="AM75"/>
    </row>
    <row r="76" spans="1:39" s="51" customFormat="1" ht="30" customHeight="1" x14ac:dyDescent="0.2">
      <c r="A76" s="70">
        <v>2.2999999999999998</v>
      </c>
      <c r="B76" s="71" t="s">
        <v>164</v>
      </c>
      <c r="C76" s="213" t="s">
        <v>338</v>
      </c>
      <c r="D76" s="9">
        <v>4500.6000000000004</v>
      </c>
      <c r="E76" s="9" t="s">
        <v>303</v>
      </c>
      <c r="F76" s="267" t="s">
        <v>309</v>
      </c>
      <c r="G76" s="268"/>
      <c r="H76" s="11">
        <v>0</v>
      </c>
      <c r="I76" s="218">
        <v>0</v>
      </c>
      <c r="J76" s="261"/>
      <c r="K76" s="262"/>
      <c r="L76" s="262"/>
      <c r="M76"/>
      <c r="N76"/>
      <c r="O76"/>
      <c r="P76"/>
      <c r="Q76"/>
      <c r="R76"/>
      <c r="S76"/>
      <c r="T76"/>
      <c r="U76"/>
      <c r="V76"/>
      <c r="W76"/>
      <c r="X76"/>
      <c r="Y76"/>
      <c r="Z76"/>
      <c r="AA76"/>
      <c r="AB76"/>
      <c r="AC76"/>
      <c r="AD76"/>
      <c r="AE76"/>
      <c r="AF76"/>
      <c r="AG76"/>
      <c r="AH76"/>
      <c r="AI76"/>
      <c r="AJ76"/>
      <c r="AK76"/>
      <c r="AL76"/>
      <c r="AM76"/>
    </row>
    <row r="77" spans="1:39" s="51" customFormat="1" ht="30" customHeight="1" x14ac:dyDescent="0.2">
      <c r="A77" s="70"/>
      <c r="B77" s="71"/>
      <c r="C77" s="213" t="s">
        <v>495</v>
      </c>
      <c r="D77" s="9">
        <f>1400*122.97</f>
        <v>172158</v>
      </c>
      <c r="E77" s="9" t="s">
        <v>303</v>
      </c>
      <c r="F77" s="208" t="s">
        <v>317</v>
      </c>
      <c r="G77" s="209"/>
      <c r="H77" s="11">
        <f>D77*0.9</f>
        <v>154942.20000000001</v>
      </c>
      <c r="I77" s="218">
        <f>D77*0.1</f>
        <v>17215.8</v>
      </c>
      <c r="J77" s="110"/>
      <c r="K77" s="94"/>
      <c r="L77" s="94"/>
      <c r="M77"/>
      <c r="N77"/>
      <c r="O77"/>
      <c r="P77"/>
      <c r="Q77"/>
      <c r="R77"/>
      <c r="S77"/>
      <c r="T77"/>
      <c r="U77"/>
      <c r="V77"/>
      <c r="W77"/>
      <c r="X77"/>
      <c r="Y77"/>
      <c r="Z77"/>
      <c r="AA77"/>
      <c r="AB77"/>
      <c r="AC77"/>
      <c r="AD77"/>
      <c r="AE77"/>
      <c r="AF77"/>
      <c r="AG77"/>
      <c r="AH77"/>
      <c r="AI77"/>
      <c r="AJ77"/>
      <c r="AK77"/>
      <c r="AL77"/>
      <c r="AM77"/>
    </row>
    <row r="78" spans="1:39" s="51" customFormat="1" ht="30" customHeight="1" x14ac:dyDescent="0.2">
      <c r="A78" s="70"/>
      <c r="B78" s="71"/>
      <c r="C78" s="213" t="s">
        <v>339</v>
      </c>
      <c r="D78" s="9">
        <v>12486.36</v>
      </c>
      <c r="E78" s="9" t="s">
        <v>377</v>
      </c>
      <c r="F78" s="208" t="s">
        <v>309</v>
      </c>
      <c r="G78" s="209"/>
      <c r="H78" s="11">
        <v>0</v>
      </c>
      <c r="I78" s="218">
        <v>0</v>
      </c>
      <c r="J78" s="110"/>
      <c r="K78" s="94"/>
      <c r="L78" s="94"/>
      <c r="M78"/>
      <c r="N78"/>
      <c r="O78"/>
      <c r="P78"/>
      <c r="Q78"/>
      <c r="R78"/>
      <c r="S78"/>
      <c r="T78"/>
      <c r="U78"/>
      <c r="V78"/>
      <c r="W78"/>
      <c r="X78"/>
      <c r="Y78"/>
      <c r="Z78"/>
      <c r="AA78"/>
      <c r="AB78"/>
      <c r="AC78"/>
      <c r="AD78"/>
      <c r="AE78"/>
      <c r="AF78"/>
      <c r="AG78"/>
      <c r="AH78"/>
      <c r="AI78"/>
      <c r="AJ78"/>
      <c r="AK78"/>
      <c r="AL78"/>
      <c r="AM78"/>
    </row>
    <row r="79" spans="1:39" s="51" customFormat="1" ht="30" customHeight="1" x14ac:dyDescent="0.2">
      <c r="A79" s="70"/>
      <c r="B79" s="71"/>
      <c r="C79" s="213" t="s">
        <v>340</v>
      </c>
      <c r="D79" s="9">
        <f>527.01*2</f>
        <v>1054.02</v>
      </c>
      <c r="E79" s="9" t="s">
        <v>303</v>
      </c>
      <c r="F79" s="208" t="s">
        <v>341</v>
      </c>
      <c r="G79" s="209"/>
      <c r="H79" s="11">
        <v>0</v>
      </c>
      <c r="I79" s="218">
        <f>D79</f>
        <v>1054.02</v>
      </c>
      <c r="J79" s="110"/>
      <c r="K79" s="94"/>
      <c r="L79" s="94"/>
      <c r="M79"/>
      <c r="N79"/>
      <c r="O79"/>
      <c r="P79"/>
      <c r="Q79"/>
      <c r="R79"/>
      <c r="S79"/>
      <c r="T79"/>
      <c r="U79"/>
      <c r="V79"/>
      <c r="W79"/>
      <c r="X79"/>
      <c r="Y79"/>
      <c r="Z79"/>
      <c r="AA79"/>
      <c r="AB79"/>
      <c r="AC79"/>
      <c r="AD79"/>
      <c r="AE79"/>
      <c r="AF79"/>
      <c r="AG79"/>
      <c r="AH79"/>
      <c r="AI79"/>
      <c r="AJ79"/>
      <c r="AK79"/>
      <c r="AL79"/>
      <c r="AM79"/>
    </row>
    <row r="80" spans="1:39" s="51" customFormat="1" ht="30" customHeight="1" x14ac:dyDescent="0.2">
      <c r="A80" s="70"/>
      <c r="B80" s="71"/>
      <c r="C80" s="213" t="s">
        <v>342</v>
      </c>
      <c r="D80" s="9">
        <v>309.44</v>
      </c>
      <c r="E80" s="9" t="s">
        <v>375</v>
      </c>
      <c r="F80" s="208" t="s">
        <v>309</v>
      </c>
      <c r="G80" s="209"/>
      <c r="H80" s="11">
        <v>0</v>
      </c>
      <c r="I80" s="218">
        <v>0</v>
      </c>
      <c r="J80" s="110"/>
      <c r="K80" s="94"/>
      <c r="L80" s="94"/>
      <c r="M80"/>
      <c r="N80"/>
      <c r="O80"/>
      <c r="P80"/>
      <c r="Q80"/>
      <c r="R80"/>
      <c r="S80"/>
      <c r="T80"/>
      <c r="U80"/>
      <c r="V80"/>
      <c r="W80"/>
      <c r="X80"/>
      <c r="Y80"/>
      <c r="Z80"/>
      <c r="AA80"/>
      <c r="AB80"/>
      <c r="AC80"/>
      <c r="AD80"/>
      <c r="AE80"/>
      <c r="AF80"/>
      <c r="AG80"/>
      <c r="AH80"/>
      <c r="AI80"/>
      <c r="AJ80"/>
      <c r="AK80"/>
      <c r="AL80"/>
      <c r="AM80"/>
    </row>
    <row r="81" spans="1:39" s="51" customFormat="1" ht="30" customHeight="1" x14ac:dyDescent="0.2">
      <c r="A81" s="70"/>
      <c r="B81" s="71"/>
      <c r="C81" s="213" t="s">
        <v>343</v>
      </c>
      <c r="D81" s="9">
        <v>1275618.4975000001</v>
      </c>
      <c r="E81" s="9" t="s">
        <v>344</v>
      </c>
      <c r="F81" s="208" t="s">
        <v>304</v>
      </c>
      <c r="G81" s="209"/>
      <c r="H81" s="11">
        <v>0</v>
      </c>
      <c r="I81" s="218">
        <f t="shared" ref="I81:I82" si="1">D81</f>
        <v>1275618.4975000001</v>
      </c>
      <c r="J81" s="110"/>
      <c r="K81" s="94"/>
      <c r="L81" s="94"/>
      <c r="M81"/>
      <c r="N81"/>
      <c r="O81"/>
      <c r="P81"/>
      <c r="Q81"/>
      <c r="R81"/>
      <c r="S81"/>
      <c r="T81"/>
      <c r="U81"/>
      <c r="V81"/>
      <c r="W81"/>
      <c r="X81"/>
      <c r="Y81"/>
      <c r="Z81"/>
      <c r="AA81"/>
      <c r="AB81"/>
      <c r="AC81"/>
      <c r="AD81"/>
      <c r="AE81"/>
      <c r="AF81"/>
      <c r="AG81"/>
      <c r="AH81"/>
      <c r="AI81"/>
      <c r="AJ81"/>
      <c r="AK81"/>
      <c r="AL81"/>
      <c r="AM81"/>
    </row>
    <row r="82" spans="1:39" s="51" customFormat="1" ht="30" customHeight="1" x14ac:dyDescent="0.2">
      <c r="A82" s="70"/>
      <c r="B82" s="71"/>
      <c r="C82" s="213" t="s">
        <v>345</v>
      </c>
      <c r="D82" s="9">
        <v>5223.8599999999997</v>
      </c>
      <c r="E82" s="9" t="s">
        <v>303</v>
      </c>
      <c r="F82" s="208"/>
      <c r="G82" s="209"/>
      <c r="H82" s="11">
        <v>0</v>
      </c>
      <c r="I82" s="218">
        <f t="shared" si="1"/>
        <v>5223.8599999999997</v>
      </c>
      <c r="J82" s="110"/>
      <c r="K82" s="94"/>
      <c r="L82" s="94"/>
      <c r="M82"/>
      <c r="N82"/>
      <c r="O82"/>
      <c r="P82"/>
      <c r="Q82"/>
      <c r="R82"/>
      <c r="S82"/>
      <c r="T82"/>
      <c r="U82"/>
      <c r="V82"/>
      <c r="W82"/>
      <c r="X82"/>
      <c r="Y82"/>
      <c r="Z82"/>
      <c r="AA82"/>
      <c r="AB82"/>
      <c r="AC82"/>
      <c r="AD82"/>
      <c r="AE82"/>
      <c r="AF82"/>
      <c r="AG82"/>
      <c r="AH82"/>
      <c r="AI82"/>
      <c r="AJ82"/>
      <c r="AK82"/>
      <c r="AL82"/>
      <c r="AM82"/>
    </row>
    <row r="83" spans="1:39" s="51" customFormat="1" ht="30" customHeight="1" x14ac:dyDescent="0.2">
      <c r="A83" s="70"/>
      <c r="B83" s="71"/>
      <c r="C83" s="213" t="s">
        <v>346</v>
      </c>
      <c r="D83" s="9">
        <v>3734.4</v>
      </c>
      <c r="E83" s="9" t="s">
        <v>377</v>
      </c>
      <c r="F83" s="208" t="s">
        <v>347</v>
      </c>
      <c r="G83" s="209"/>
      <c r="H83" s="11">
        <v>0</v>
      </c>
      <c r="I83" s="218">
        <f>D83*0.6</f>
        <v>2240.64</v>
      </c>
      <c r="J83" s="110"/>
      <c r="K83" s="94"/>
      <c r="L83" s="94"/>
      <c r="M83"/>
      <c r="N83"/>
      <c r="O83"/>
      <c r="P83"/>
      <c r="Q83"/>
      <c r="R83"/>
      <c r="S83"/>
      <c r="T83"/>
      <c r="U83"/>
      <c r="V83"/>
      <c r="W83"/>
      <c r="X83"/>
      <c r="Y83"/>
      <c r="Z83"/>
      <c r="AA83"/>
      <c r="AB83"/>
      <c r="AC83"/>
      <c r="AD83"/>
      <c r="AE83"/>
      <c r="AF83"/>
      <c r="AG83"/>
      <c r="AH83"/>
      <c r="AI83"/>
      <c r="AJ83"/>
      <c r="AK83"/>
      <c r="AL83"/>
      <c r="AM83"/>
    </row>
    <row r="84" spans="1:39" s="51" customFormat="1" ht="30" customHeight="1" x14ac:dyDescent="0.2">
      <c r="A84" s="70"/>
      <c r="B84" s="71"/>
      <c r="C84" s="213" t="s">
        <v>348</v>
      </c>
      <c r="D84" s="9">
        <v>316.46999999999997</v>
      </c>
      <c r="E84" s="9" t="s">
        <v>303</v>
      </c>
      <c r="F84" s="208" t="s">
        <v>304</v>
      </c>
      <c r="G84" s="209"/>
      <c r="H84" s="11">
        <v>0</v>
      </c>
      <c r="I84" s="218">
        <f>D84</f>
        <v>316.46999999999997</v>
      </c>
      <c r="J84" s="110"/>
      <c r="K84" s="94"/>
      <c r="L84" s="94"/>
      <c r="M84"/>
      <c r="N84"/>
      <c r="O84"/>
      <c r="P84"/>
      <c r="Q84"/>
      <c r="R84"/>
      <c r="S84"/>
      <c r="T84"/>
      <c r="U84"/>
      <c r="V84"/>
      <c r="W84"/>
      <c r="X84"/>
      <c r="Y84"/>
      <c r="Z84"/>
      <c r="AA84"/>
      <c r="AB84"/>
      <c r="AC84"/>
      <c r="AD84"/>
      <c r="AE84"/>
      <c r="AF84"/>
      <c r="AG84"/>
      <c r="AH84"/>
      <c r="AI84"/>
      <c r="AJ84"/>
      <c r="AK84"/>
      <c r="AL84"/>
      <c r="AM84"/>
    </row>
    <row r="85" spans="1:39" s="51" customFormat="1" ht="30" customHeight="1" x14ac:dyDescent="0.2">
      <c r="A85" s="70">
        <v>2.4</v>
      </c>
      <c r="B85" s="71" t="s">
        <v>165</v>
      </c>
      <c r="C85" s="213" t="s">
        <v>349</v>
      </c>
      <c r="D85" s="9">
        <v>167208</v>
      </c>
      <c r="E85" s="9" t="s">
        <v>303</v>
      </c>
      <c r="F85" s="267" t="s">
        <v>306</v>
      </c>
      <c r="G85" s="268"/>
      <c r="H85" s="11">
        <f>D85</f>
        <v>167208</v>
      </c>
      <c r="I85" s="218">
        <v>0</v>
      </c>
      <c r="J85" s="261"/>
      <c r="K85" s="262"/>
      <c r="L85" s="262"/>
      <c r="M85"/>
      <c r="N85"/>
      <c r="O85"/>
      <c r="P85"/>
      <c r="Q85"/>
      <c r="R85"/>
      <c r="S85"/>
      <c r="T85"/>
      <c r="U85"/>
      <c r="V85"/>
      <c r="W85"/>
      <c r="X85"/>
      <c r="Y85"/>
      <c r="Z85"/>
      <c r="AA85"/>
      <c r="AB85"/>
      <c r="AC85"/>
      <c r="AD85"/>
      <c r="AE85"/>
      <c r="AF85"/>
      <c r="AG85"/>
      <c r="AH85"/>
      <c r="AI85"/>
      <c r="AJ85"/>
      <c r="AK85"/>
      <c r="AL85"/>
      <c r="AM85"/>
    </row>
    <row r="86" spans="1:39" s="51" customFormat="1" ht="30" customHeight="1" x14ac:dyDescent="0.2">
      <c r="A86" s="70"/>
      <c r="B86" s="71"/>
      <c r="C86" s="213" t="s">
        <v>315</v>
      </c>
      <c r="D86" s="9">
        <v>10450.6</v>
      </c>
      <c r="E86" s="9" t="s">
        <v>303</v>
      </c>
      <c r="F86" s="208" t="s">
        <v>304</v>
      </c>
      <c r="G86" s="209"/>
      <c r="H86" s="11">
        <v>0</v>
      </c>
      <c r="I86" s="218">
        <f>D86</f>
        <v>10450.6</v>
      </c>
      <c r="J86" s="110"/>
      <c r="K86" s="94"/>
      <c r="L86" s="94"/>
      <c r="M86"/>
      <c r="N86"/>
      <c r="O86"/>
      <c r="P86"/>
      <c r="Q86"/>
      <c r="R86"/>
      <c r="S86"/>
      <c r="T86"/>
      <c r="U86"/>
      <c r="V86"/>
      <c r="W86"/>
      <c r="X86"/>
      <c r="Y86"/>
      <c r="Z86"/>
      <c r="AA86"/>
      <c r="AB86"/>
      <c r="AC86"/>
      <c r="AD86"/>
      <c r="AE86"/>
      <c r="AF86"/>
      <c r="AG86"/>
      <c r="AH86"/>
      <c r="AI86"/>
      <c r="AJ86"/>
      <c r="AK86"/>
      <c r="AL86"/>
      <c r="AM86"/>
    </row>
    <row r="87" spans="1:39" s="51" customFormat="1" ht="30" customHeight="1" x14ac:dyDescent="0.2">
      <c r="A87" s="70"/>
      <c r="B87" s="71"/>
      <c r="C87" s="213" t="s">
        <v>350</v>
      </c>
      <c r="D87" s="9">
        <v>5505.5</v>
      </c>
      <c r="E87" s="9" t="s">
        <v>303</v>
      </c>
      <c r="F87" s="208" t="s">
        <v>351</v>
      </c>
      <c r="G87" s="209"/>
      <c r="H87" s="11">
        <f>D87</f>
        <v>5505.5</v>
      </c>
      <c r="I87" s="218">
        <v>0</v>
      </c>
      <c r="J87" s="110"/>
      <c r="K87" s="94"/>
      <c r="L87" s="94"/>
      <c r="M87"/>
      <c r="N87"/>
      <c r="O87"/>
      <c r="P87"/>
      <c r="Q87"/>
      <c r="R87"/>
      <c r="S87"/>
      <c r="T87"/>
      <c r="U87"/>
      <c r="V87"/>
      <c r="W87"/>
      <c r="X87"/>
      <c r="Y87"/>
      <c r="Z87"/>
      <c r="AA87"/>
      <c r="AB87"/>
      <c r="AC87"/>
      <c r="AD87"/>
      <c r="AE87"/>
      <c r="AF87"/>
      <c r="AG87"/>
      <c r="AH87"/>
      <c r="AI87"/>
      <c r="AJ87"/>
      <c r="AK87"/>
      <c r="AL87"/>
      <c r="AM87"/>
    </row>
    <row r="88" spans="1:39" s="51" customFormat="1" ht="30" customHeight="1" x14ac:dyDescent="0.2">
      <c r="A88" s="70">
        <v>2.5</v>
      </c>
      <c r="B88" s="71" t="s">
        <v>166</v>
      </c>
      <c r="C88" s="213" t="s">
        <v>312</v>
      </c>
      <c r="D88" s="9">
        <v>8940</v>
      </c>
      <c r="E88" s="9" t="s">
        <v>303</v>
      </c>
      <c r="F88" s="267" t="s">
        <v>351</v>
      </c>
      <c r="G88" s="267" t="s">
        <v>351</v>
      </c>
      <c r="H88" s="11">
        <f>D88</f>
        <v>8940</v>
      </c>
      <c r="I88" s="218">
        <v>0</v>
      </c>
      <c r="J88" s="261"/>
      <c r="K88" s="262"/>
      <c r="L88" s="262"/>
      <c r="M88"/>
      <c r="N88"/>
      <c r="O88"/>
      <c r="P88"/>
      <c r="Q88"/>
      <c r="R88"/>
      <c r="S88"/>
      <c r="T88"/>
      <c r="U88"/>
      <c r="V88"/>
      <c r="W88"/>
      <c r="X88"/>
      <c r="Y88"/>
      <c r="Z88"/>
      <c r="AA88"/>
      <c r="AB88"/>
      <c r="AC88"/>
      <c r="AD88"/>
      <c r="AE88"/>
      <c r="AF88"/>
      <c r="AG88"/>
      <c r="AH88"/>
      <c r="AI88"/>
      <c r="AJ88"/>
      <c r="AK88"/>
      <c r="AL88"/>
      <c r="AM88"/>
    </row>
    <row r="89" spans="1:39" s="51" customFormat="1" ht="30" customHeight="1" x14ac:dyDescent="0.2">
      <c r="A89" s="70"/>
      <c r="B89" s="71"/>
      <c r="C89" s="213" t="s">
        <v>490</v>
      </c>
      <c r="D89" s="9">
        <f>4.5*(894+1590)</f>
        <v>11178</v>
      </c>
      <c r="E89" s="9" t="s">
        <v>303</v>
      </c>
      <c r="F89" s="208" t="s">
        <v>304</v>
      </c>
      <c r="G89" s="214"/>
      <c r="H89" s="11">
        <v>0</v>
      </c>
      <c r="I89" s="218">
        <f>D89</f>
        <v>11178</v>
      </c>
      <c r="J89" s="110"/>
      <c r="K89" s="94"/>
      <c r="L89" s="94"/>
      <c r="M89"/>
      <c r="N89"/>
      <c r="O89"/>
      <c r="P89"/>
      <c r="Q89"/>
      <c r="R89"/>
      <c r="S89"/>
      <c r="T89"/>
      <c r="U89"/>
      <c r="V89"/>
      <c r="W89"/>
      <c r="X89"/>
      <c r="Y89"/>
      <c r="Z89"/>
      <c r="AA89"/>
      <c r="AB89"/>
      <c r="AC89"/>
      <c r="AD89"/>
      <c r="AE89"/>
      <c r="AF89"/>
      <c r="AG89"/>
      <c r="AH89"/>
      <c r="AI89"/>
      <c r="AJ89"/>
      <c r="AK89"/>
      <c r="AL89"/>
      <c r="AM89"/>
    </row>
    <row r="90" spans="1:39" s="51" customFormat="1" ht="30" customHeight="1" x14ac:dyDescent="0.2">
      <c r="A90" s="70"/>
      <c r="B90" s="71"/>
      <c r="C90" s="213" t="s">
        <v>352</v>
      </c>
      <c r="D90" s="9">
        <v>18198</v>
      </c>
      <c r="E90" s="9" t="s">
        <v>303</v>
      </c>
      <c r="F90" s="208" t="s">
        <v>353</v>
      </c>
      <c r="G90" s="214"/>
      <c r="H90" s="11">
        <v>0</v>
      </c>
      <c r="I90" s="218">
        <f>D90*0.9</f>
        <v>16378.2</v>
      </c>
      <c r="J90" s="110"/>
      <c r="K90" s="94"/>
      <c r="L90" s="94"/>
      <c r="M90"/>
      <c r="N90"/>
      <c r="O90"/>
      <c r="P90"/>
      <c r="Q90"/>
      <c r="R90"/>
      <c r="S90"/>
      <c r="T90"/>
      <c r="U90"/>
      <c r="V90"/>
      <c r="W90"/>
      <c r="X90"/>
      <c r="Y90"/>
      <c r="Z90"/>
      <c r="AA90"/>
      <c r="AB90"/>
      <c r="AC90"/>
      <c r="AD90"/>
      <c r="AE90"/>
      <c r="AF90"/>
      <c r="AG90"/>
      <c r="AH90"/>
      <c r="AI90"/>
      <c r="AJ90"/>
      <c r="AK90"/>
      <c r="AL90"/>
      <c r="AM90"/>
    </row>
    <row r="91" spans="1:39" s="51" customFormat="1" ht="30" customHeight="1" x14ac:dyDescent="0.2">
      <c r="A91" s="70"/>
      <c r="B91" s="71"/>
      <c r="C91" s="213" t="s">
        <v>313</v>
      </c>
      <c r="D91" s="9">
        <f>386.28</f>
        <v>386.28</v>
      </c>
      <c r="E91" s="9" t="s">
        <v>303</v>
      </c>
      <c r="F91" s="208" t="s">
        <v>309</v>
      </c>
      <c r="G91" s="214"/>
      <c r="H91" s="11">
        <v>0</v>
      </c>
      <c r="I91" s="218">
        <v>0</v>
      </c>
      <c r="J91" s="110"/>
      <c r="K91" s="94"/>
      <c r="L91" s="94"/>
      <c r="M91"/>
      <c r="N91"/>
      <c r="O91"/>
      <c r="P91"/>
      <c r="Q91"/>
      <c r="R91"/>
      <c r="S91"/>
      <c r="T91"/>
      <c r="U91"/>
      <c r="V91"/>
      <c r="W91"/>
      <c r="X91"/>
      <c r="Y91"/>
      <c r="Z91"/>
      <c r="AA91"/>
      <c r="AB91"/>
      <c r="AC91"/>
      <c r="AD91"/>
      <c r="AE91"/>
      <c r="AF91"/>
      <c r="AG91"/>
      <c r="AH91"/>
      <c r="AI91"/>
      <c r="AJ91"/>
      <c r="AK91"/>
      <c r="AL91"/>
      <c r="AM91"/>
    </row>
    <row r="92" spans="1:39" s="51" customFormat="1" ht="30" customHeight="1" x14ac:dyDescent="0.2">
      <c r="A92" s="70"/>
      <c r="B92" s="71"/>
      <c r="C92" s="213" t="s">
        <v>354</v>
      </c>
      <c r="D92" s="9">
        <f>12851.25</f>
        <v>12851.25</v>
      </c>
      <c r="E92" s="9" t="s">
        <v>303</v>
      </c>
      <c r="F92" s="208" t="s">
        <v>355</v>
      </c>
      <c r="G92" s="214"/>
      <c r="H92" s="11">
        <v>0</v>
      </c>
      <c r="I92" s="218">
        <f>D92</f>
        <v>12851.25</v>
      </c>
      <c r="J92" s="110"/>
      <c r="K92" s="94"/>
      <c r="L92" s="94"/>
      <c r="M92"/>
      <c r="N92"/>
      <c r="O92"/>
      <c r="P92"/>
      <c r="Q92"/>
      <c r="R92"/>
      <c r="S92"/>
      <c r="T92"/>
      <c r="U92"/>
      <c r="V92"/>
      <c r="W92"/>
      <c r="X92"/>
      <c r="Y92"/>
      <c r="Z92"/>
      <c r="AA92"/>
      <c r="AB92"/>
      <c r="AC92"/>
      <c r="AD92"/>
      <c r="AE92"/>
      <c r="AF92"/>
      <c r="AG92"/>
      <c r="AH92"/>
      <c r="AI92"/>
      <c r="AJ92"/>
      <c r="AK92"/>
      <c r="AL92"/>
      <c r="AM92"/>
    </row>
    <row r="93" spans="1:39" s="51" customFormat="1" ht="30" customHeight="1" x14ac:dyDescent="0.2">
      <c r="A93" s="70"/>
      <c r="B93" s="71"/>
      <c r="C93" s="213" t="s">
        <v>356</v>
      </c>
      <c r="D93" s="9">
        <f>643.68+671.1</f>
        <v>1314.78</v>
      </c>
      <c r="E93" s="9" t="s">
        <v>303</v>
      </c>
      <c r="F93" s="208" t="s">
        <v>357</v>
      </c>
      <c r="G93" s="214"/>
      <c r="H93" s="11">
        <v>0</v>
      </c>
      <c r="I93" s="218">
        <f>D93</f>
        <v>1314.78</v>
      </c>
      <c r="J93" s="110"/>
      <c r="K93" s="94"/>
      <c r="L93" s="94"/>
      <c r="M93"/>
      <c r="N93"/>
      <c r="O93"/>
      <c r="P93"/>
      <c r="Q93"/>
      <c r="R93"/>
      <c r="S93"/>
      <c r="T93"/>
      <c r="U93"/>
      <c r="V93"/>
      <c r="W93"/>
      <c r="X93"/>
      <c r="Y93"/>
      <c r="Z93"/>
      <c r="AA93"/>
      <c r="AB93"/>
      <c r="AC93"/>
      <c r="AD93"/>
      <c r="AE93"/>
      <c r="AF93"/>
      <c r="AG93"/>
      <c r="AH93"/>
      <c r="AI93"/>
      <c r="AJ93"/>
      <c r="AK93"/>
      <c r="AL93"/>
      <c r="AM93"/>
    </row>
    <row r="94" spans="1:39" s="51" customFormat="1" ht="30" customHeight="1" x14ac:dyDescent="0.2">
      <c r="A94" s="70"/>
      <c r="B94" s="71"/>
      <c r="C94" s="213" t="s">
        <v>358</v>
      </c>
      <c r="D94" s="9">
        <v>367575</v>
      </c>
      <c r="E94" s="9" t="s">
        <v>303</v>
      </c>
      <c r="F94" s="208" t="s">
        <v>355</v>
      </c>
      <c r="G94" s="214"/>
      <c r="H94" s="11">
        <v>0</v>
      </c>
      <c r="I94" s="218">
        <f>D94</f>
        <v>367575</v>
      </c>
      <c r="J94" s="110"/>
      <c r="K94" s="94"/>
      <c r="L94" s="94"/>
      <c r="M94"/>
      <c r="N94"/>
      <c r="O94"/>
      <c r="P94"/>
      <c r="Q94"/>
      <c r="R94"/>
      <c r="S94"/>
      <c r="T94"/>
      <c r="U94"/>
      <c r="V94"/>
      <c r="W94"/>
      <c r="X94"/>
      <c r="Y94"/>
      <c r="Z94"/>
      <c r="AA94"/>
      <c r="AB94"/>
      <c r="AC94"/>
      <c r="AD94"/>
      <c r="AE94"/>
      <c r="AF94"/>
      <c r="AG94"/>
      <c r="AH94"/>
      <c r="AI94"/>
      <c r="AJ94"/>
      <c r="AK94"/>
      <c r="AL94"/>
      <c r="AM94"/>
    </row>
    <row r="95" spans="1:39" s="51" customFormat="1" ht="30" customHeight="1" x14ac:dyDescent="0.2">
      <c r="A95" s="70"/>
      <c r="B95" s="71"/>
      <c r="C95" s="213" t="s">
        <v>359</v>
      </c>
      <c r="D95" s="9">
        <v>38217</v>
      </c>
      <c r="E95" s="9" t="s">
        <v>303</v>
      </c>
      <c r="F95" s="208" t="s">
        <v>415</v>
      </c>
      <c r="G95" s="214"/>
      <c r="H95" s="11">
        <v>0</v>
      </c>
      <c r="I95" s="218">
        <v>0</v>
      </c>
      <c r="J95" s="110"/>
      <c r="K95" s="94"/>
      <c r="L95" s="94"/>
      <c r="M95"/>
      <c r="N95"/>
      <c r="O95"/>
      <c r="P95"/>
      <c r="Q95"/>
      <c r="R95"/>
      <c r="S95"/>
      <c r="T95"/>
      <c r="U95"/>
      <c r="V95"/>
      <c r="W95"/>
      <c r="X95"/>
      <c r="Y95"/>
      <c r="Z95"/>
      <c r="AA95"/>
      <c r="AB95"/>
      <c r="AC95"/>
      <c r="AD95"/>
      <c r="AE95"/>
      <c r="AF95"/>
      <c r="AG95"/>
      <c r="AH95"/>
      <c r="AI95"/>
      <c r="AJ95"/>
      <c r="AK95"/>
      <c r="AL95"/>
      <c r="AM95"/>
    </row>
    <row r="96" spans="1:39" s="51" customFormat="1" ht="30" customHeight="1" x14ac:dyDescent="0.2">
      <c r="A96" s="70"/>
      <c r="B96" s="71"/>
      <c r="C96" s="213" t="s">
        <v>360</v>
      </c>
      <c r="D96" s="9">
        <v>39882.5</v>
      </c>
      <c r="E96" s="9" t="s">
        <v>375</v>
      </c>
      <c r="F96" s="208" t="s">
        <v>493</v>
      </c>
      <c r="G96" s="214"/>
      <c r="H96" s="11">
        <v>0</v>
      </c>
      <c r="I96" s="218">
        <f>D96</f>
        <v>39882.5</v>
      </c>
      <c r="J96" s="110"/>
      <c r="K96" s="94"/>
      <c r="L96" s="94"/>
      <c r="M96"/>
      <c r="N96"/>
      <c r="O96"/>
      <c r="P96"/>
      <c r="Q96"/>
      <c r="R96"/>
      <c r="S96"/>
      <c r="T96"/>
      <c r="U96"/>
      <c r="V96"/>
      <c r="W96"/>
      <c r="X96"/>
      <c r="Y96"/>
      <c r="Z96"/>
      <c r="AA96"/>
      <c r="AB96"/>
      <c r="AC96"/>
      <c r="AD96"/>
      <c r="AE96"/>
      <c r="AF96"/>
      <c r="AG96"/>
      <c r="AH96"/>
      <c r="AI96"/>
      <c r="AJ96"/>
      <c r="AK96"/>
      <c r="AL96"/>
      <c r="AM96"/>
    </row>
    <row r="97" spans="1:39" s="51" customFormat="1" ht="30" customHeight="1" x14ac:dyDescent="0.2">
      <c r="A97" s="70"/>
      <c r="B97" s="71"/>
      <c r="C97" s="213" t="s">
        <v>361</v>
      </c>
      <c r="D97" s="9">
        <f>3484</f>
        <v>3484</v>
      </c>
      <c r="E97" s="9" t="s">
        <v>303</v>
      </c>
      <c r="F97" s="208" t="s">
        <v>357</v>
      </c>
      <c r="G97" s="214"/>
      <c r="H97" s="11">
        <v>0</v>
      </c>
      <c r="I97" s="218">
        <f>D97</f>
        <v>3484</v>
      </c>
      <c r="J97" s="110"/>
      <c r="K97" s="94"/>
      <c r="L97" s="94"/>
      <c r="M97"/>
      <c r="N97"/>
      <c r="O97"/>
      <c r="P97"/>
      <c r="Q97"/>
      <c r="R97"/>
      <c r="S97"/>
      <c r="T97"/>
      <c r="U97"/>
      <c r="V97"/>
      <c r="W97"/>
      <c r="X97"/>
      <c r="Y97"/>
      <c r="Z97"/>
      <c r="AA97"/>
      <c r="AB97"/>
      <c r="AC97"/>
      <c r="AD97"/>
      <c r="AE97"/>
      <c r="AF97"/>
      <c r="AG97"/>
      <c r="AH97"/>
      <c r="AI97"/>
      <c r="AJ97"/>
      <c r="AK97"/>
      <c r="AL97"/>
      <c r="AM97"/>
    </row>
    <row r="98" spans="1:39" s="51" customFormat="1" ht="30" customHeight="1" x14ac:dyDescent="0.2">
      <c r="A98" s="70"/>
      <c r="B98" s="71"/>
      <c r="C98" s="213" t="s">
        <v>362</v>
      </c>
      <c r="D98" s="9">
        <v>5024</v>
      </c>
      <c r="E98" s="9" t="s">
        <v>303</v>
      </c>
      <c r="F98" s="208" t="s">
        <v>357</v>
      </c>
      <c r="G98" s="214"/>
      <c r="H98" s="11">
        <v>0</v>
      </c>
      <c r="I98" s="218">
        <f>D98</f>
        <v>5024</v>
      </c>
      <c r="J98" s="110"/>
      <c r="K98" s="94"/>
      <c r="L98" s="94"/>
      <c r="M98"/>
      <c r="N98"/>
      <c r="O98"/>
      <c r="P98"/>
      <c r="Q98"/>
      <c r="R98"/>
      <c r="S98"/>
      <c r="T98"/>
      <c r="U98"/>
      <c r="V98"/>
      <c r="W98"/>
      <c r="X98"/>
      <c r="Y98"/>
      <c r="Z98"/>
      <c r="AA98"/>
      <c r="AB98"/>
      <c r="AC98"/>
      <c r="AD98"/>
      <c r="AE98"/>
      <c r="AF98"/>
      <c r="AG98"/>
      <c r="AH98"/>
      <c r="AI98"/>
      <c r="AJ98"/>
      <c r="AK98"/>
      <c r="AL98"/>
      <c r="AM98"/>
    </row>
    <row r="99" spans="1:39" s="51" customFormat="1" ht="30" customHeight="1" x14ac:dyDescent="0.2">
      <c r="A99" s="70"/>
      <c r="B99" s="71"/>
      <c r="C99" s="213" t="s">
        <v>363</v>
      </c>
      <c r="D99" s="9">
        <v>259.70000000000005</v>
      </c>
      <c r="E99" s="9" t="s">
        <v>375</v>
      </c>
      <c r="F99" s="208" t="s">
        <v>309</v>
      </c>
      <c r="G99" s="214"/>
      <c r="H99" s="11">
        <v>0</v>
      </c>
      <c r="I99" s="218">
        <v>0</v>
      </c>
      <c r="J99" s="110"/>
      <c r="K99" s="94"/>
      <c r="L99" s="94"/>
      <c r="M99"/>
      <c r="N99"/>
      <c r="O99"/>
      <c r="P99"/>
      <c r="Q99"/>
      <c r="R99"/>
      <c r="S99"/>
      <c r="T99"/>
      <c r="U99"/>
      <c r="V99"/>
      <c r="W99"/>
      <c r="X99"/>
      <c r="Y99"/>
      <c r="Z99"/>
      <c r="AA99"/>
      <c r="AB99"/>
      <c r="AC99"/>
      <c r="AD99"/>
      <c r="AE99"/>
      <c r="AF99"/>
      <c r="AG99"/>
      <c r="AH99"/>
      <c r="AI99"/>
      <c r="AJ99"/>
      <c r="AK99"/>
      <c r="AL99"/>
      <c r="AM99"/>
    </row>
    <row r="100" spans="1:39" s="51" customFormat="1" ht="30" customHeight="1" x14ac:dyDescent="0.2">
      <c r="A100" s="70"/>
      <c r="B100" s="71"/>
      <c r="C100" s="213" t="s">
        <v>364</v>
      </c>
      <c r="D100" s="9">
        <v>27559.82</v>
      </c>
      <c r="E100" s="9" t="s">
        <v>303</v>
      </c>
      <c r="F100" s="208" t="s">
        <v>365</v>
      </c>
      <c r="G100" s="214"/>
      <c r="H100" s="11">
        <f>D100</f>
        <v>27559.82</v>
      </c>
      <c r="I100" s="218">
        <v>0</v>
      </c>
      <c r="J100" s="110"/>
      <c r="K100" s="94"/>
      <c r="L100" s="94"/>
      <c r="M100"/>
      <c r="N100"/>
      <c r="O100"/>
      <c r="P100"/>
      <c r="Q100"/>
      <c r="R100"/>
      <c r="S100"/>
      <c r="T100"/>
      <c r="U100"/>
      <c r="V100"/>
      <c r="W100"/>
      <c r="X100"/>
      <c r="Y100"/>
      <c r="Z100"/>
      <c r="AA100"/>
      <c r="AB100"/>
      <c r="AC100"/>
      <c r="AD100"/>
      <c r="AE100"/>
      <c r="AF100"/>
      <c r="AG100"/>
      <c r="AH100"/>
      <c r="AI100"/>
      <c r="AJ100"/>
      <c r="AK100"/>
      <c r="AL100"/>
      <c r="AM100"/>
    </row>
    <row r="101" spans="1:39" s="51" customFormat="1" ht="30" customHeight="1" x14ac:dyDescent="0.2">
      <c r="A101" s="70"/>
      <c r="B101" s="71"/>
      <c r="C101" s="213" t="s">
        <v>491</v>
      </c>
      <c r="D101" s="9">
        <v>1590</v>
      </c>
      <c r="E101" s="9" t="s">
        <v>303</v>
      </c>
      <c r="F101" s="208" t="s">
        <v>357</v>
      </c>
      <c r="G101" s="214"/>
      <c r="H101" s="11">
        <v>0</v>
      </c>
      <c r="I101" s="218">
        <f>D101</f>
        <v>1590</v>
      </c>
      <c r="J101" s="110"/>
      <c r="K101" s="94"/>
      <c r="L101" s="94"/>
      <c r="M101"/>
      <c r="N101"/>
      <c r="O101"/>
      <c r="P101"/>
      <c r="Q101"/>
      <c r="R101"/>
      <c r="S101"/>
      <c r="T101"/>
      <c r="U101"/>
      <c r="V101"/>
      <c r="W101"/>
      <c r="X101"/>
      <c r="Y101"/>
      <c r="Z101"/>
      <c r="AA101"/>
      <c r="AB101"/>
      <c r="AC101"/>
      <c r="AD101"/>
      <c r="AE101"/>
      <c r="AF101"/>
      <c r="AG101"/>
      <c r="AH101"/>
      <c r="AI101"/>
      <c r="AJ101"/>
      <c r="AK101"/>
      <c r="AL101"/>
      <c r="AM101"/>
    </row>
    <row r="102" spans="1:39" s="51" customFormat="1" ht="30" customHeight="1" x14ac:dyDescent="0.2">
      <c r="A102" s="70">
        <v>2.6</v>
      </c>
      <c r="B102" s="71" t="s">
        <v>167</v>
      </c>
      <c r="C102" s="213" t="s">
        <v>366</v>
      </c>
      <c r="D102" s="9">
        <v>56697.875</v>
      </c>
      <c r="E102" s="9" t="s">
        <v>375</v>
      </c>
      <c r="F102" s="267" t="s">
        <v>357</v>
      </c>
      <c r="G102" s="267" t="s">
        <v>357</v>
      </c>
      <c r="H102" s="11">
        <v>0</v>
      </c>
      <c r="I102" s="218">
        <f>D102</f>
        <v>56697.875</v>
      </c>
      <c r="J102" s="261"/>
      <c r="K102" s="262"/>
      <c r="L102" s="262"/>
      <c r="M102"/>
      <c r="N102"/>
      <c r="O102"/>
      <c r="P102"/>
      <c r="Q102"/>
      <c r="R102"/>
      <c r="S102"/>
      <c r="T102"/>
      <c r="U102"/>
      <c r="V102"/>
      <c r="W102"/>
      <c r="X102"/>
      <c r="Y102"/>
      <c r="Z102"/>
      <c r="AA102"/>
      <c r="AB102"/>
      <c r="AC102"/>
      <c r="AD102"/>
      <c r="AE102"/>
      <c r="AF102"/>
      <c r="AG102"/>
      <c r="AH102"/>
      <c r="AI102"/>
      <c r="AJ102"/>
      <c r="AK102"/>
      <c r="AL102"/>
      <c r="AM102"/>
    </row>
    <row r="103" spans="1:39" s="51" customFormat="1" ht="30" customHeight="1" x14ac:dyDescent="0.2">
      <c r="A103" s="70"/>
      <c r="B103" s="71"/>
      <c r="C103" s="213" t="s">
        <v>367</v>
      </c>
      <c r="D103" s="9">
        <f>155.23</f>
        <v>155.22999999999999</v>
      </c>
      <c r="E103" s="9" t="str">
        <f>E102</f>
        <v xml:space="preserve">Assumed 30 year service life - replaced 1 times. </v>
      </c>
      <c r="F103" s="208" t="s">
        <v>309</v>
      </c>
      <c r="G103" s="214"/>
      <c r="H103" s="11">
        <v>0</v>
      </c>
      <c r="I103" s="218">
        <v>0</v>
      </c>
      <c r="J103" s="110"/>
      <c r="K103" s="94"/>
      <c r="L103" s="94"/>
      <c r="M103"/>
      <c r="N103"/>
      <c r="O103"/>
      <c r="P103"/>
      <c r="Q103"/>
      <c r="R103"/>
      <c r="S103"/>
      <c r="T103"/>
      <c r="U103"/>
      <c r="V103"/>
      <c r="W103"/>
      <c r="X103"/>
      <c r="Y103"/>
      <c r="Z103"/>
      <c r="AA103"/>
      <c r="AB103"/>
      <c r="AC103"/>
      <c r="AD103"/>
      <c r="AE103"/>
      <c r="AF103"/>
      <c r="AG103"/>
      <c r="AH103"/>
      <c r="AI103"/>
      <c r="AJ103"/>
      <c r="AK103"/>
      <c r="AL103"/>
      <c r="AM103"/>
    </row>
    <row r="104" spans="1:39" s="51" customFormat="1" ht="30" customHeight="1" x14ac:dyDescent="0.2">
      <c r="A104" s="70">
        <v>2.7</v>
      </c>
      <c r="B104" s="71" t="s">
        <v>168</v>
      </c>
      <c r="C104" s="213" t="s">
        <v>360</v>
      </c>
      <c r="D104" s="9">
        <v>18614.7</v>
      </c>
      <c r="E104" s="9" t="str">
        <f>E103</f>
        <v xml:space="preserve">Assumed 30 year service life - replaced 1 times. </v>
      </c>
      <c r="F104" s="267" t="s">
        <v>494</v>
      </c>
      <c r="G104" s="268"/>
      <c r="H104" s="11">
        <v>0</v>
      </c>
      <c r="I104" s="218">
        <f>D104</f>
        <v>18614.7</v>
      </c>
      <c r="J104" s="261"/>
      <c r="K104" s="262"/>
      <c r="L104" s="262"/>
      <c r="M104"/>
      <c r="N104"/>
      <c r="O104"/>
      <c r="P104"/>
      <c r="Q104"/>
      <c r="R104"/>
      <c r="S104"/>
      <c r="T104"/>
      <c r="U104"/>
      <c r="V104"/>
      <c r="W104"/>
      <c r="X104"/>
      <c r="Y104"/>
      <c r="Z104"/>
      <c r="AA104"/>
      <c r="AB104"/>
      <c r="AC104"/>
      <c r="AD104"/>
      <c r="AE104"/>
      <c r="AF104"/>
      <c r="AG104"/>
      <c r="AH104"/>
      <c r="AI104"/>
      <c r="AJ104"/>
      <c r="AK104"/>
      <c r="AL104"/>
      <c r="AM104"/>
    </row>
    <row r="105" spans="1:39" s="51" customFormat="1" ht="30" customHeight="1" x14ac:dyDescent="0.2">
      <c r="A105" s="70"/>
      <c r="B105" s="71"/>
      <c r="C105" s="213" t="s">
        <v>361</v>
      </c>
      <c r="D105" s="9">
        <v>1515</v>
      </c>
      <c r="E105" s="9" t="s">
        <v>303</v>
      </c>
      <c r="F105" s="208" t="s">
        <v>357</v>
      </c>
      <c r="G105" s="109"/>
      <c r="H105" s="11">
        <v>0</v>
      </c>
      <c r="I105" s="218">
        <f>D105</f>
        <v>1515</v>
      </c>
      <c r="J105" s="110"/>
      <c r="K105" s="94"/>
      <c r="L105" s="94"/>
      <c r="M105"/>
      <c r="N105"/>
      <c r="O105"/>
      <c r="P105"/>
      <c r="Q105"/>
      <c r="R105"/>
      <c r="S105"/>
      <c r="T105"/>
      <c r="U105"/>
      <c r="V105"/>
      <c r="W105"/>
      <c r="X105"/>
      <c r="Y105"/>
      <c r="Z105"/>
      <c r="AA105"/>
      <c r="AB105"/>
      <c r="AC105"/>
      <c r="AD105"/>
      <c r="AE105"/>
      <c r="AF105"/>
      <c r="AG105"/>
      <c r="AH105"/>
      <c r="AI105"/>
      <c r="AJ105"/>
      <c r="AK105"/>
      <c r="AL105"/>
      <c r="AM105"/>
    </row>
    <row r="106" spans="1:39" s="51" customFormat="1" ht="30" customHeight="1" x14ac:dyDescent="0.2">
      <c r="A106" s="70"/>
      <c r="B106" s="71"/>
      <c r="C106" s="213" t="s">
        <v>368</v>
      </c>
      <c r="D106" s="216">
        <f>186.27*8.82</f>
        <v>1642.9014000000002</v>
      </c>
      <c r="E106" s="9" t="s">
        <v>376</v>
      </c>
      <c r="F106" s="208" t="s">
        <v>355</v>
      </c>
      <c r="G106" s="109"/>
      <c r="H106" s="11">
        <v>0</v>
      </c>
      <c r="I106" s="218">
        <f>D106</f>
        <v>1642.9014000000002</v>
      </c>
      <c r="J106" s="110"/>
      <c r="K106" s="94"/>
      <c r="L106" s="94"/>
      <c r="M106"/>
      <c r="N106"/>
      <c r="O106"/>
      <c r="P106"/>
      <c r="Q106"/>
      <c r="R106"/>
      <c r="S106"/>
      <c r="T106"/>
      <c r="U106"/>
      <c r="V106"/>
      <c r="W106"/>
      <c r="X106"/>
      <c r="Y106"/>
      <c r="Z106"/>
      <c r="AA106"/>
      <c r="AB106"/>
      <c r="AC106"/>
      <c r="AD106"/>
      <c r="AE106"/>
      <c r="AF106"/>
      <c r="AG106"/>
      <c r="AH106"/>
      <c r="AI106"/>
      <c r="AJ106"/>
      <c r="AK106"/>
      <c r="AL106"/>
      <c r="AM106"/>
    </row>
    <row r="107" spans="1:39" s="51" customFormat="1" ht="30" customHeight="1" x14ac:dyDescent="0.2">
      <c r="A107" s="70"/>
      <c r="B107" s="71"/>
      <c r="C107" s="213" t="s">
        <v>492</v>
      </c>
      <c r="D107" s="216">
        <v>389.61</v>
      </c>
      <c r="E107" s="9" t="s">
        <v>303</v>
      </c>
      <c r="F107" s="208" t="s">
        <v>309</v>
      </c>
      <c r="G107" s="215"/>
      <c r="H107" s="11">
        <v>0</v>
      </c>
      <c r="I107" s="218">
        <v>0</v>
      </c>
      <c r="J107" s="110"/>
      <c r="K107" s="94"/>
      <c r="L107" s="94"/>
      <c r="M107"/>
      <c r="N107"/>
      <c r="O107"/>
      <c r="P107"/>
      <c r="Q107"/>
      <c r="R107"/>
      <c r="S107"/>
      <c r="T107"/>
      <c r="U107"/>
      <c r="V107"/>
      <c r="W107"/>
      <c r="X107"/>
      <c r="Y107"/>
      <c r="Z107"/>
      <c r="AA107"/>
      <c r="AB107"/>
      <c r="AC107"/>
      <c r="AD107"/>
      <c r="AE107"/>
      <c r="AF107"/>
      <c r="AG107"/>
      <c r="AH107"/>
      <c r="AI107"/>
      <c r="AJ107"/>
      <c r="AK107"/>
      <c r="AL107"/>
      <c r="AM107"/>
    </row>
    <row r="108" spans="1:39" s="51" customFormat="1" ht="30" customHeight="1" x14ac:dyDescent="0.2">
      <c r="A108" s="70">
        <v>2.8</v>
      </c>
      <c r="B108" s="71" t="s">
        <v>169</v>
      </c>
      <c r="C108" s="213" t="s">
        <v>370</v>
      </c>
      <c r="D108" s="9">
        <v>11630.08</v>
      </c>
      <c r="E108" s="9" t="s">
        <v>372</v>
      </c>
      <c r="F108" s="267" t="s">
        <v>355</v>
      </c>
      <c r="G108" s="267" t="s">
        <v>355</v>
      </c>
      <c r="H108" s="11">
        <v>0</v>
      </c>
      <c r="I108" s="218">
        <f>D108</f>
        <v>11630.08</v>
      </c>
      <c r="J108" s="261"/>
      <c r="K108" s="262"/>
      <c r="L108" s="262"/>
      <c r="M108"/>
      <c r="N108"/>
      <c r="O108"/>
      <c r="P108"/>
      <c r="Q108"/>
      <c r="R108"/>
      <c r="S108"/>
      <c r="T108"/>
      <c r="U108"/>
      <c r="V108"/>
      <c r="W108"/>
      <c r="X108"/>
      <c r="Y108"/>
      <c r="Z108"/>
      <c r="AA108"/>
      <c r="AB108"/>
      <c r="AC108"/>
      <c r="AD108"/>
      <c r="AE108"/>
      <c r="AF108"/>
      <c r="AG108"/>
      <c r="AH108"/>
      <c r="AI108"/>
      <c r="AJ108"/>
      <c r="AK108"/>
      <c r="AL108"/>
      <c r="AM108"/>
    </row>
    <row r="109" spans="1:39" s="51" customFormat="1" ht="30" customHeight="1" x14ac:dyDescent="0.2">
      <c r="A109" s="70"/>
      <c r="B109" s="71"/>
      <c r="C109" s="213" t="s">
        <v>371</v>
      </c>
      <c r="D109" s="9">
        <v>14743.29</v>
      </c>
      <c r="E109" s="9" t="s">
        <v>372</v>
      </c>
      <c r="F109" s="208" t="s">
        <v>355</v>
      </c>
      <c r="G109" s="109"/>
      <c r="H109" s="11">
        <v>0</v>
      </c>
      <c r="I109" s="218">
        <f>D109</f>
        <v>14743.29</v>
      </c>
      <c r="J109" s="110"/>
      <c r="K109" s="94"/>
      <c r="L109" s="94"/>
      <c r="M109"/>
      <c r="N109"/>
      <c r="O109"/>
      <c r="P109"/>
      <c r="Q109"/>
      <c r="R109"/>
      <c r="S109"/>
      <c r="T109"/>
      <c r="U109"/>
      <c r="V109"/>
      <c r="W109"/>
      <c r="X109"/>
      <c r="Y109"/>
      <c r="Z109"/>
      <c r="AA109"/>
      <c r="AB109"/>
      <c r="AC109"/>
      <c r="AD109"/>
      <c r="AE109"/>
      <c r="AF109"/>
      <c r="AG109"/>
      <c r="AH109"/>
      <c r="AI109"/>
      <c r="AJ109"/>
      <c r="AK109"/>
      <c r="AL109"/>
      <c r="AM109"/>
    </row>
    <row r="110" spans="1:39" s="51" customFormat="1" ht="30" customHeight="1" x14ac:dyDescent="0.2">
      <c r="A110" s="70">
        <v>3</v>
      </c>
      <c r="B110" s="71" t="s">
        <v>170</v>
      </c>
      <c r="C110" s="213" t="s">
        <v>373</v>
      </c>
      <c r="D110" s="9">
        <v>1366.4</v>
      </c>
      <c r="E110" s="9" t="s">
        <v>374</v>
      </c>
      <c r="F110" s="267" t="s">
        <v>309</v>
      </c>
      <c r="G110" s="267" t="s">
        <v>309</v>
      </c>
      <c r="H110" s="11">
        <v>0</v>
      </c>
      <c r="I110" s="218">
        <v>0</v>
      </c>
      <c r="J110" s="261"/>
      <c r="K110" s="262"/>
      <c r="L110" s="262"/>
      <c r="M110"/>
      <c r="N110"/>
      <c r="O110"/>
      <c r="P110"/>
      <c r="Q110"/>
      <c r="R110"/>
      <c r="S110"/>
      <c r="T110"/>
      <c r="U110"/>
      <c r="V110"/>
      <c r="W110"/>
      <c r="X110"/>
      <c r="Y110"/>
      <c r="Z110"/>
      <c r="AA110"/>
      <c r="AB110"/>
      <c r="AC110"/>
      <c r="AD110"/>
      <c r="AE110"/>
      <c r="AF110"/>
      <c r="AG110"/>
      <c r="AH110"/>
      <c r="AI110"/>
      <c r="AJ110"/>
      <c r="AK110"/>
      <c r="AL110"/>
      <c r="AM110"/>
    </row>
    <row r="111" spans="1:39" s="51" customFormat="1" ht="30" customHeight="1" x14ac:dyDescent="0.2">
      <c r="A111" s="70"/>
      <c r="B111" s="71"/>
      <c r="C111" s="213" t="s">
        <v>378</v>
      </c>
      <c r="D111" s="9">
        <f>1.974*9521</f>
        <v>18794.454000000002</v>
      </c>
      <c r="E111" s="9" t="s">
        <v>374</v>
      </c>
      <c r="F111" s="208" t="s">
        <v>309</v>
      </c>
      <c r="G111" s="214"/>
      <c r="H111" s="11">
        <v>0</v>
      </c>
      <c r="I111" s="218">
        <v>0</v>
      </c>
      <c r="J111" s="110"/>
      <c r="K111" s="94"/>
      <c r="L111" s="94"/>
      <c r="M111"/>
      <c r="N111"/>
      <c r="O111"/>
      <c r="P111"/>
      <c r="Q111"/>
      <c r="R111"/>
      <c r="S111"/>
      <c r="T111"/>
      <c r="U111"/>
      <c r="V111"/>
      <c r="W111"/>
      <c r="X111"/>
      <c r="Y111"/>
      <c r="Z111"/>
      <c r="AA111"/>
      <c r="AB111"/>
      <c r="AC111"/>
      <c r="AD111"/>
      <c r="AE111"/>
      <c r="AF111"/>
      <c r="AG111"/>
      <c r="AH111"/>
      <c r="AI111"/>
      <c r="AJ111"/>
      <c r="AK111"/>
      <c r="AL111"/>
      <c r="AM111"/>
    </row>
    <row r="112" spans="1:39" s="51" customFormat="1" ht="30" customHeight="1" x14ac:dyDescent="0.2">
      <c r="A112" s="70"/>
      <c r="B112" s="71"/>
      <c r="C112" s="213" t="s">
        <v>379</v>
      </c>
      <c r="D112" s="9">
        <f>64.4*9521</f>
        <v>613152.4</v>
      </c>
      <c r="E112" s="9" t="s">
        <v>382</v>
      </c>
      <c r="F112" s="208" t="s">
        <v>384</v>
      </c>
      <c r="G112" s="214"/>
      <c r="H112" s="11">
        <v>0</v>
      </c>
      <c r="I112" s="218">
        <f>D112</f>
        <v>613152.4</v>
      </c>
      <c r="J112" s="110"/>
      <c r="K112" s="94"/>
      <c r="L112" s="94"/>
      <c r="M112"/>
      <c r="N112"/>
      <c r="O112"/>
      <c r="P112"/>
      <c r="Q112"/>
      <c r="R112"/>
      <c r="S112"/>
      <c r="T112"/>
      <c r="U112"/>
      <c r="V112"/>
      <c r="W112"/>
      <c r="X112"/>
      <c r="Y112"/>
      <c r="Z112"/>
      <c r="AA112"/>
      <c r="AB112"/>
      <c r="AC112"/>
      <c r="AD112"/>
      <c r="AE112"/>
      <c r="AF112"/>
      <c r="AG112"/>
      <c r="AH112"/>
      <c r="AI112"/>
      <c r="AJ112"/>
      <c r="AK112"/>
      <c r="AL112"/>
      <c r="AM112"/>
    </row>
    <row r="113" spans="1:39" s="51" customFormat="1" ht="30" customHeight="1" x14ac:dyDescent="0.2">
      <c r="A113" s="70"/>
      <c r="B113" s="71"/>
      <c r="C113" s="213" t="s">
        <v>380</v>
      </c>
      <c r="D113" s="9">
        <f>4.233*9521</f>
        <v>40302.392999999996</v>
      </c>
      <c r="E113" s="9" t="str">
        <f t="shared" ref="E113" si="2">E112</f>
        <v xml:space="preserve">Assumed 50 year service life - replaced 1 times. </v>
      </c>
      <c r="F113" s="208" t="s">
        <v>383</v>
      </c>
      <c r="G113" s="214"/>
      <c r="H113" s="11">
        <v>0</v>
      </c>
      <c r="I113" s="218">
        <f>D113*0.6</f>
        <v>24181.435799999996</v>
      </c>
      <c r="J113" s="110"/>
      <c r="K113" s="94"/>
      <c r="L113" s="94"/>
      <c r="M113"/>
      <c r="N113"/>
      <c r="O113"/>
      <c r="P113"/>
      <c r="Q113"/>
      <c r="R113"/>
      <c r="S113"/>
      <c r="T113"/>
      <c r="U113"/>
      <c r="V113"/>
      <c r="W113"/>
      <c r="X113"/>
      <c r="Y113"/>
      <c r="Z113"/>
      <c r="AA113"/>
      <c r="AB113"/>
      <c r="AC113"/>
      <c r="AD113"/>
      <c r="AE113"/>
      <c r="AF113"/>
      <c r="AG113"/>
      <c r="AH113"/>
      <c r="AI113"/>
      <c r="AJ113"/>
      <c r="AK113"/>
      <c r="AL113"/>
      <c r="AM113"/>
    </row>
    <row r="114" spans="1:39" s="51" customFormat="1" ht="30" customHeight="1" x14ac:dyDescent="0.2">
      <c r="A114" s="70"/>
      <c r="B114" s="71"/>
      <c r="C114" s="213" t="s">
        <v>381</v>
      </c>
      <c r="D114" s="9">
        <f>40*9521</f>
        <v>380840</v>
      </c>
      <c r="E114" s="9" t="s">
        <v>375</v>
      </c>
      <c r="F114" s="208" t="s">
        <v>355</v>
      </c>
      <c r="G114" s="214"/>
      <c r="H114" s="11">
        <v>0</v>
      </c>
      <c r="I114" s="218">
        <f>D114</f>
        <v>380840</v>
      </c>
      <c r="J114" s="110"/>
      <c r="K114" s="94"/>
      <c r="L114" s="94"/>
      <c r="M114"/>
      <c r="N114"/>
      <c r="O114"/>
      <c r="P114"/>
      <c r="Q114"/>
      <c r="R114"/>
      <c r="S114"/>
      <c r="T114"/>
      <c r="U114"/>
      <c r="V114"/>
      <c r="W114"/>
      <c r="X114"/>
      <c r="Y114"/>
      <c r="Z114"/>
      <c r="AA114"/>
      <c r="AB114"/>
      <c r="AC114"/>
      <c r="AD114"/>
      <c r="AE114"/>
      <c r="AF114"/>
      <c r="AG114"/>
      <c r="AH114"/>
      <c r="AI114"/>
      <c r="AJ114"/>
      <c r="AK114"/>
      <c r="AL114"/>
      <c r="AM114"/>
    </row>
    <row r="115" spans="1:39" s="51" customFormat="1" ht="30" customHeight="1" x14ac:dyDescent="0.2">
      <c r="A115" s="70"/>
      <c r="B115" s="71"/>
      <c r="C115" s="213" t="s">
        <v>385</v>
      </c>
      <c r="D115" s="9">
        <v>3859.2</v>
      </c>
      <c r="E115" s="9" t="s">
        <v>376</v>
      </c>
      <c r="F115" s="208" t="s">
        <v>309</v>
      </c>
      <c r="G115" s="214"/>
      <c r="H115" s="11">
        <v>0</v>
      </c>
      <c r="I115" s="218">
        <v>0</v>
      </c>
      <c r="J115" s="110"/>
      <c r="K115" s="94"/>
      <c r="L115" s="94"/>
      <c r="M115"/>
      <c r="N115"/>
      <c r="O115"/>
      <c r="P115"/>
      <c r="Q115"/>
      <c r="R115"/>
      <c r="S115"/>
      <c r="T115"/>
      <c r="U115"/>
      <c r="V115"/>
      <c r="W115"/>
      <c r="X115"/>
      <c r="Y115"/>
      <c r="Z115"/>
      <c r="AA115"/>
      <c r="AB115"/>
      <c r="AC115"/>
      <c r="AD115"/>
      <c r="AE115"/>
      <c r="AF115"/>
      <c r="AG115"/>
      <c r="AH115"/>
      <c r="AI115"/>
      <c r="AJ115"/>
      <c r="AK115"/>
      <c r="AL115"/>
      <c r="AM115"/>
    </row>
    <row r="116" spans="1:39" s="51" customFormat="1" ht="30" customHeight="1" x14ac:dyDescent="0.2">
      <c r="A116" s="70"/>
      <c r="B116" s="71"/>
      <c r="C116" s="213" t="s">
        <v>386</v>
      </c>
      <c r="D116" s="9">
        <v>1633.8</v>
      </c>
      <c r="E116" s="9" t="s">
        <v>344</v>
      </c>
      <c r="F116" s="208" t="s">
        <v>309</v>
      </c>
      <c r="G116" s="214"/>
      <c r="H116" s="11">
        <v>0</v>
      </c>
      <c r="I116" s="218">
        <v>0</v>
      </c>
      <c r="J116" s="110"/>
      <c r="K116" s="94"/>
      <c r="L116" s="94"/>
      <c r="M116"/>
      <c r="N116"/>
      <c r="O116"/>
      <c r="P116"/>
      <c r="Q116"/>
      <c r="R116"/>
      <c r="S116"/>
      <c r="T116"/>
      <c r="U116"/>
      <c r="V116"/>
      <c r="W116"/>
      <c r="X116"/>
      <c r="Y116"/>
      <c r="Z116"/>
      <c r="AA116"/>
      <c r="AB116"/>
      <c r="AC116"/>
      <c r="AD116"/>
      <c r="AE116"/>
      <c r="AF116"/>
      <c r="AG116"/>
      <c r="AH116"/>
      <c r="AI116"/>
      <c r="AJ116"/>
      <c r="AK116"/>
      <c r="AL116"/>
      <c r="AM116"/>
    </row>
    <row r="117" spans="1:39" s="51" customFormat="1" ht="30" customHeight="1" x14ac:dyDescent="0.2">
      <c r="A117" s="70"/>
      <c r="B117" s="71"/>
      <c r="C117" s="213" t="s">
        <v>387</v>
      </c>
      <c r="D117" s="9">
        <v>7507.5</v>
      </c>
      <c r="E117" s="9" t="s">
        <v>375</v>
      </c>
      <c r="F117" s="208" t="s">
        <v>341</v>
      </c>
      <c r="G117" s="214"/>
      <c r="H117" s="11">
        <v>0</v>
      </c>
      <c r="I117" s="218">
        <f>D117</f>
        <v>7507.5</v>
      </c>
      <c r="J117" s="110"/>
      <c r="K117" s="94"/>
      <c r="L117" s="94"/>
      <c r="M117"/>
      <c r="N117"/>
      <c r="O117"/>
      <c r="P117"/>
      <c r="Q117"/>
      <c r="R117"/>
      <c r="S117"/>
      <c r="T117"/>
      <c r="U117"/>
      <c r="V117"/>
      <c r="W117"/>
      <c r="X117"/>
      <c r="Y117"/>
      <c r="Z117"/>
      <c r="AA117"/>
      <c r="AB117"/>
      <c r="AC117"/>
      <c r="AD117"/>
      <c r="AE117"/>
      <c r="AF117"/>
      <c r="AG117"/>
      <c r="AH117"/>
      <c r="AI117"/>
      <c r="AJ117"/>
      <c r="AK117"/>
      <c r="AL117"/>
      <c r="AM117"/>
    </row>
    <row r="118" spans="1:39" s="51" customFormat="1" ht="30" customHeight="1" x14ac:dyDescent="0.2">
      <c r="A118" s="70"/>
      <c r="B118" s="71"/>
      <c r="C118" s="213" t="s">
        <v>388</v>
      </c>
      <c r="D118" s="9">
        <v>1000</v>
      </c>
      <c r="E118" s="9" t="s">
        <v>389</v>
      </c>
      <c r="F118" s="208" t="s">
        <v>309</v>
      </c>
      <c r="G118" s="214"/>
      <c r="H118" s="11">
        <v>0</v>
      </c>
      <c r="I118" s="218">
        <v>0</v>
      </c>
      <c r="J118" s="110"/>
      <c r="K118" s="94"/>
      <c r="L118" s="94"/>
      <c r="M118"/>
      <c r="N118"/>
      <c r="O118"/>
      <c r="P118"/>
      <c r="Q118"/>
      <c r="R118"/>
      <c r="S118"/>
      <c r="T118"/>
      <c r="U118"/>
      <c r="V118"/>
      <c r="W118"/>
      <c r="X118"/>
      <c r="Y118"/>
      <c r="Z118"/>
      <c r="AA118"/>
      <c r="AB118"/>
      <c r="AC118"/>
      <c r="AD118"/>
      <c r="AE118"/>
      <c r="AF118"/>
      <c r="AG118"/>
      <c r="AH118"/>
      <c r="AI118"/>
      <c r="AJ118"/>
      <c r="AK118"/>
      <c r="AL118"/>
      <c r="AM118"/>
    </row>
    <row r="119" spans="1:39" s="51" customFormat="1" ht="30" customHeight="1" x14ac:dyDescent="0.2">
      <c r="A119" s="70"/>
      <c r="B119" s="71"/>
      <c r="C119" s="213" t="s">
        <v>390</v>
      </c>
      <c r="D119" s="9">
        <v>343.85</v>
      </c>
      <c r="E119" s="9" t="str">
        <f t="shared" ref="E119" si="3">E118</f>
        <v xml:space="preserve">Assumed 35 year service life - replaced 1 times. </v>
      </c>
      <c r="F119" s="208" t="s">
        <v>357</v>
      </c>
      <c r="G119" s="214"/>
      <c r="H119" s="11">
        <v>0</v>
      </c>
      <c r="I119" s="218">
        <f>D119</f>
        <v>343.85</v>
      </c>
      <c r="J119" s="110"/>
      <c r="K119" s="94"/>
      <c r="L119" s="94"/>
      <c r="M119"/>
      <c r="N119"/>
      <c r="O119"/>
      <c r="P119"/>
      <c r="Q119"/>
      <c r="R119"/>
      <c r="S119"/>
      <c r="T119"/>
      <c r="U119"/>
      <c r="V119"/>
      <c r="W119"/>
      <c r="X119"/>
      <c r="Y119"/>
      <c r="Z119"/>
      <c r="AA119"/>
      <c r="AB119"/>
      <c r="AC119"/>
      <c r="AD119"/>
      <c r="AE119"/>
      <c r="AF119"/>
      <c r="AG119"/>
      <c r="AH119"/>
      <c r="AI119"/>
      <c r="AJ119"/>
      <c r="AK119"/>
      <c r="AL119"/>
      <c r="AM119"/>
    </row>
    <row r="120" spans="1:39" s="51" customFormat="1" ht="30" customHeight="1" x14ac:dyDescent="0.2">
      <c r="A120" s="70"/>
      <c r="B120" s="71"/>
      <c r="C120" s="213" t="s">
        <v>391</v>
      </c>
      <c r="D120" s="9">
        <v>4745</v>
      </c>
      <c r="E120" s="9" t="s">
        <v>374</v>
      </c>
      <c r="F120" s="208" t="s">
        <v>309</v>
      </c>
      <c r="G120" s="214"/>
      <c r="H120" s="11">
        <v>0</v>
      </c>
      <c r="I120" s="218">
        <v>0</v>
      </c>
      <c r="J120" s="110"/>
      <c r="K120" s="94"/>
      <c r="L120" s="94"/>
      <c r="M120"/>
      <c r="N120"/>
      <c r="O120"/>
      <c r="P120"/>
      <c r="Q120"/>
      <c r="R120"/>
      <c r="S120"/>
      <c r="T120"/>
      <c r="U120"/>
      <c r="V120"/>
      <c r="W120"/>
      <c r="X120"/>
      <c r="Y120"/>
      <c r="Z120"/>
      <c r="AA120"/>
      <c r="AB120"/>
      <c r="AC120"/>
      <c r="AD120"/>
      <c r="AE120"/>
      <c r="AF120"/>
      <c r="AG120"/>
      <c r="AH120"/>
      <c r="AI120"/>
      <c r="AJ120"/>
      <c r="AK120"/>
      <c r="AL120"/>
      <c r="AM120"/>
    </row>
    <row r="121" spans="1:39" s="51" customFormat="1" ht="30" customHeight="1" x14ac:dyDescent="0.2">
      <c r="A121" s="70"/>
      <c r="B121" s="71"/>
      <c r="C121" s="213" t="s">
        <v>489</v>
      </c>
      <c r="D121" s="9">
        <v>2244</v>
      </c>
      <c r="E121" s="9" t="s">
        <v>375</v>
      </c>
      <c r="F121" s="208" t="s">
        <v>309</v>
      </c>
      <c r="G121" s="214"/>
      <c r="H121" s="11">
        <v>0</v>
      </c>
      <c r="I121" s="218">
        <v>0</v>
      </c>
      <c r="J121" s="110"/>
      <c r="K121" s="94"/>
      <c r="L121" s="94"/>
      <c r="M121"/>
      <c r="N121"/>
      <c r="O121"/>
      <c r="P121"/>
      <c r="Q121"/>
      <c r="R121"/>
      <c r="S121"/>
      <c r="T121"/>
      <c r="U121"/>
      <c r="V121"/>
      <c r="W121"/>
      <c r="X121"/>
      <c r="Y121"/>
      <c r="Z121"/>
      <c r="AA121"/>
      <c r="AB121"/>
      <c r="AC121"/>
      <c r="AD121"/>
      <c r="AE121"/>
      <c r="AF121"/>
      <c r="AG121"/>
      <c r="AH121"/>
      <c r="AI121"/>
      <c r="AJ121"/>
      <c r="AK121"/>
      <c r="AL121"/>
      <c r="AM121"/>
    </row>
    <row r="122" spans="1:39" s="51" customFormat="1" ht="29.25" customHeight="1" x14ac:dyDescent="0.2">
      <c r="A122" s="70">
        <v>4</v>
      </c>
      <c r="B122" s="71" t="s">
        <v>171</v>
      </c>
      <c r="C122" s="9"/>
      <c r="D122" s="9"/>
      <c r="E122" s="9"/>
      <c r="F122" s="265"/>
      <c r="G122" s="266"/>
      <c r="H122" s="11"/>
      <c r="I122" s="218"/>
      <c r="J122" s="261"/>
      <c r="K122" s="262"/>
      <c r="L122" s="262"/>
      <c r="M122"/>
      <c r="N122"/>
      <c r="O122"/>
      <c r="P122"/>
      <c r="Q122"/>
      <c r="R122"/>
      <c r="S122"/>
      <c r="T122"/>
      <c r="U122"/>
      <c r="V122"/>
      <c r="W122"/>
      <c r="X122"/>
      <c r="Y122"/>
      <c r="Z122"/>
      <c r="AA122"/>
      <c r="AB122"/>
      <c r="AC122"/>
      <c r="AD122"/>
      <c r="AE122"/>
      <c r="AF122"/>
      <c r="AG122"/>
      <c r="AH122"/>
      <c r="AI122"/>
      <c r="AJ122"/>
      <c r="AK122"/>
      <c r="AL122"/>
      <c r="AM122"/>
    </row>
    <row r="123" spans="1:39" s="51" customFormat="1" ht="30" customHeight="1" x14ac:dyDescent="0.2">
      <c r="A123" s="70">
        <v>5</v>
      </c>
      <c r="B123" s="71" t="s">
        <v>172</v>
      </c>
      <c r="C123" s="213" t="s">
        <v>396</v>
      </c>
      <c r="D123" s="9">
        <f>5034*4</f>
        <v>20136</v>
      </c>
      <c r="E123" s="213" t="s">
        <v>372</v>
      </c>
      <c r="F123" s="208" t="s">
        <v>353</v>
      </c>
      <c r="G123" s="209"/>
      <c r="H123" s="11">
        <v>0</v>
      </c>
      <c r="I123" s="218">
        <f>D123*0.9</f>
        <v>18122.400000000001</v>
      </c>
      <c r="J123" s="261"/>
      <c r="K123" s="262"/>
      <c r="L123" s="262"/>
      <c r="M123"/>
      <c r="N123"/>
      <c r="O123"/>
      <c r="P123"/>
      <c r="Q123"/>
      <c r="R123"/>
      <c r="S123"/>
      <c r="T123"/>
      <c r="U123"/>
      <c r="V123"/>
      <c r="W123"/>
      <c r="X123"/>
      <c r="Y123"/>
      <c r="Z123"/>
      <c r="AA123"/>
      <c r="AB123"/>
      <c r="AC123"/>
      <c r="AD123"/>
      <c r="AE123"/>
      <c r="AF123"/>
      <c r="AG123"/>
      <c r="AH123"/>
      <c r="AI123"/>
      <c r="AJ123"/>
      <c r="AK123"/>
      <c r="AL123"/>
      <c r="AM123"/>
    </row>
    <row r="124" spans="1:39" s="51" customFormat="1" ht="30" customHeight="1" x14ac:dyDescent="0.2">
      <c r="A124" s="70"/>
      <c r="B124" s="71"/>
      <c r="C124" s="213" t="s">
        <v>392</v>
      </c>
      <c r="D124" s="9">
        <f>34.8*77</f>
        <v>2679.6</v>
      </c>
      <c r="E124" s="213" t="s">
        <v>377</v>
      </c>
      <c r="F124" s="267" t="s">
        <v>393</v>
      </c>
      <c r="G124" s="268"/>
      <c r="H124" s="11">
        <v>0</v>
      </c>
      <c r="I124" s="218">
        <v>0</v>
      </c>
      <c r="J124" s="110"/>
      <c r="K124" s="94"/>
      <c r="L124" s="94"/>
      <c r="M124"/>
      <c r="N124"/>
      <c r="O124"/>
      <c r="P124"/>
      <c r="Q124"/>
      <c r="R124"/>
      <c r="S124"/>
      <c r="T124"/>
      <c r="U124"/>
      <c r="V124"/>
      <c r="W124"/>
      <c r="X124"/>
      <c r="Y124"/>
      <c r="Z124"/>
      <c r="AA124"/>
      <c r="AB124"/>
      <c r="AC124"/>
      <c r="AD124"/>
      <c r="AE124"/>
      <c r="AF124"/>
      <c r="AG124"/>
      <c r="AH124"/>
      <c r="AI124"/>
      <c r="AJ124"/>
      <c r="AK124"/>
      <c r="AL124"/>
      <c r="AM124"/>
    </row>
    <row r="125" spans="1:39" s="51" customFormat="1" ht="30" customHeight="1" x14ac:dyDescent="0.2">
      <c r="A125" s="70"/>
      <c r="B125" s="71"/>
      <c r="C125" s="213" t="s">
        <v>394</v>
      </c>
      <c r="D125" s="9">
        <f>18.84*77</f>
        <v>1450.68</v>
      </c>
      <c r="E125" s="213" t="s">
        <v>377</v>
      </c>
      <c r="F125" s="208" t="s">
        <v>393</v>
      </c>
      <c r="G125" s="209"/>
      <c r="H125" s="11">
        <v>0</v>
      </c>
      <c r="I125" s="218">
        <v>0</v>
      </c>
      <c r="J125" s="110"/>
      <c r="K125" s="94"/>
      <c r="L125" s="94"/>
      <c r="M125"/>
      <c r="N125"/>
      <c r="O125"/>
      <c r="P125"/>
      <c r="Q125"/>
      <c r="R125"/>
      <c r="S125"/>
      <c r="T125"/>
      <c r="U125"/>
      <c r="V125"/>
      <c r="W125"/>
      <c r="X125"/>
      <c r="Y125"/>
      <c r="Z125"/>
      <c r="AA125"/>
      <c r="AB125"/>
      <c r="AC125"/>
      <c r="AD125"/>
      <c r="AE125"/>
      <c r="AF125"/>
      <c r="AG125"/>
      <c r="AH125"/>
      <c r="AI125"/>
      <c r="AJ125"/>
      <c r="AK125"/>
      <c r="AL125"/>
      <c r="AM125"/>
    </row>
    <row r="126" spans="1:39" s="51" customFormat="1" ht="30" customHeight="1" x14ac:dyDescent="0.2">
      <c r="A126" s="70"/>
      <c r="B126" s="71"/>
      <c r="C126" s="213" t="s">
        <v>431</v>
      </c>
      <c r="D126" s="9">
        <f>1.82*77</f>
        <v>140.14000000000001</v>
      </c>
      <c r="E126" s="213" t="s">
        <v>377</v>
      </c>
      <c r="F126" s="208" t="s">
        <v>432</v>
      </c>
      <c r="G126" s="209"/>
      <c r="H126" s="11"/>
      <c r="I126" s="218"/>
      <c r="J126" s="110"/>
      <c r="K126" s="94"/>
      <c r="L126" s="94"/>
      <c r="M126"/>
      <c r="N126"/>
      <c r="O126"/>
      <c r="P126"/>
      <c r="Q126"/>
      <c r="R126"/>
      <c r="S126"/>
      <c r="T126"/>
      <c r="U126"/>
      <c r="V126"/>
      <c r="W126"/>
      <c r="X126"/>
      <c r="Y126"/>
      <c r="Z126"/>
      <c r="AA126"/>
      <c r="AB126"/>
      <c r="AC126"/>
      <c r="AD126"/>
      <c r="AE126"/>
      <c r="AF126"/>
      <c r="AG126"/>
      <c r="AH126"/>
      <c r="AI126"/>
      <c r="AJ126"/>
      <c r="AK126"/>
      <c r="AL126"/>
      <c r="AM126"/>
    </row>
    <row r="127" spans="1:39" s="51" customFormat="1" ht="30" customHeight="1" x14ac:dyDescent="0.2">
      <c r="A127" s="70"/>
      <c r="B127" s="71"/>
      <c r="C127" s="213" t="s">
        <v>395</v>
      </c>
      <c r="D127" s="9">
        <v>3</v>
      </c>
      <c r="E127" s="213" t="s">
        <v>377</v>
      </c>
      <c r="F127" s="208" t="s">
        <v>393</v>
      </c>
      <c r="G127" s="209"/>
      <c r="H127" s="11">
        <v>0</v>
      </c>
      <c r="I127" s="218">
        <v>0</v>
      </c>
      <c r="J127" s="110"/>
      <c r="K127" s="94"/>
      <c r="L127" s="94"/>
      <c r="M127"/>
      <c r="N127"/>
      <c r="O127"/>
      <c r="P127"/>
      <c r="Q127"/>
      <c r="R127"/>
      <c r="S127"/>
      <c r="T127"/>
      <c r="U127"/>
      <c r="V127"/>
      <c r="W127"/>
      <c r="X127"/>
      <c r="Y127"/>
      <c r="Z127"/>
      <c r="AA127"/>
      <c r="AB127"/>
      <c r="AC127"/>
      <c r="AD127"/>
      <c r="AE127"/>
      <c r="AF127"/>
      <c r="AG127"/>
      <c r="AH127"/>
      <c r="AI127"/>
      <c r="AJ127"/>
      <c r="AK127"/>
      <c r="AL127"/>
      <c r="AM127"/>
    </row>
    <row r="128" spans="1:39" s="51" customFormat="1" ht="30" customHeight="1" x14ac:dyDescent="0.2">
      <c r="A128" s="70"/>
      <c r="B128" s="71"/>
      <c r="C128" s="213" t="s">
        <v>433</v>
      </c>
      <c r="D128" s="9">
        <f>821*2</f>
        <v>1642</v>
      </c>
      <c r="E128" s="213" t="s">
        <v>403</v>
      </c>
      <c r="F128" s="208" t="s">
        <v>401</v>
      </c>
      <c r="G128" s="209"/>
      <c r="H128" s="11"/>
      <c r="I128" s="218"/>
      <c r="J128" s="110"/>
      <c r="K128" s="94"/>
      <c r="L128" s="94"/>
      <c r="M128"/>
      <c r="N128"/>
      <c r="O128"/>
      <c r="P128"/>
      <c r="Q128"/>
      <c r="R128"/>
      <c r="S128"/>
      <c r="T128"/>
      <c r="U128"/>
      <c r="V128"/>
      <c r="W128"/>
      <c r="X128"/>
      <c r="Y128"/>
      <c r="Z128"/>
      <c r="AA128"/>
      <c r="AB128"/>
      <c r="AC128"/>
      <c r="AD128"/>
      <c r="AE128"/>
      <c r="AF128"/>
      <c r="AG128"/>
      <c r="AH128"/>
      <c r="AI128"/>
      <c r="AJ128"/>
      <c r="AK128"/>
      <c r="AL128"/>
      <c r="AM128"/>
    </row>
    <row r="129" spans="1:39" s="51" customFormat="1" ht="30" customHeight="1" x14ac:dyDescent="0.2">
      <c r="A129" s="70"/>
      <c r="B129" s="71"/>
      <c r="C129" s="213" t="s">
        <v>481</v>
      </c>
      <c r="D129" s="9">
        <f>1250*2</f>
        <v>2500</v>
      </c>
      <c r="E129" s="213" t="s">
        <v>403</v>
      </c>
      <c r="F129" s="208" t="s">
        <v>401</v>
      </c>
      <c r="G129" s="209"/>
      <c r="H129" s="11">
        <v>0</v>
      </c>
      <c r="I129" s="218">
        <v>2250</v>
      </c>
      <c r="J129" s="110"/>
      <c r="K129" s="94"/>
      <c r="L129" s="94"/>
      <c r="M129"/>
      <c r="N129"/>
      <c r="O129"/>
      <c r="P129"/>
      <c r="Q129"/>
      <c r="R129"/>
      <c r="S129"/>
      <c r="T129"/>
      <c r="U129"/>
      <c r="V129"/>
      <c r="W129"/>
      <c r="X129"/>
      <c r="Y129"/>
      <c r="Z129"/>
      <c r="AA129"/>
      <c r="AB129"/>
      <c r="AC129"/>
      <c r="AD129"/>
      <c r="AE129"/>
      <c r="AF129"/>
      <c r="AG129"/>
      <c r="AH129"/>
      <c r="AI129"/>
      <c r="AJ129"/>
      <c r="AK129"/>
      <c r="AL129"/>
      <c r="AM129"/>
    </row>
    <row r="130" spans="1:39" s="51" customFormat="1" ht="30" customHeight="1" x14ac:dyDescent="0.2">
      <c r="A130" s="70"/>
      <c r="B130" s="71"/>
      <c r="C130" s="213" t="s">
        <v>448</v>
      </c>
      <c r="D130" s="9">
        <f>6.63*2100</f>
        <v>13923</v>
      </c>
      <c r="E130" s="213" t="s">
        <v>303</v>
      </c>
      <c r="F130" s="208" t="s">
        <v>398</v>
      </c>
      <c r="G130" s="214"/>
      <c r="H130" s="11">
        <v>0</v>
      </c>
      <c r="I130" s="218">
        <f>D130</f>
        <v>13923</v>
      </c>
      <c r="J130" s="110"/>
      <c r="K130" s="94"/>
      <c r="L130" s="94"/>
      <c r="M130"/>
      <c r="N130"/>
      <c r="O130"/>
      <c r="P130"/>
      <c r="Q130"/>
      <c r="R130"/>
      <c r="S130"/>
      <c r="T130"/>
      <c r="U130"/>
      <c r="V130"/>
      <c r="W130"/>
      <c r="X130"/>
      <c r="Y130"/>
      <c r="Z130"/>
      <c r="AA130"/>
      <c r="AB130"/>
      <c r="AC130"/>
      <c r="AD130"/>
      <c r="AE130"/>
      <c r="AF130"/>
      <c r="AG130"/>
      <c r="AH130"/>
      <c r="AI130"/>
      <c r="AJ130"/>
      <c r="AK130"/>
      <c r="AL130"/>
      <c r="AM130"/>
    </row>
    <row r="131" spans="1:39" s="51" customFormat="1" ht="30" customHeight="1" x14ac:dyDescent="0.2">
      <c r="A131" s="70"/>
      <c r="B131" s="71"/>
      <c r="C131" s="213" t="s">
        <v>434</v>
      </c>
      <c r="D131" s="9">
        <f>2180*2.58</f>
        <v>5624.4000000000005</v>
      </c>
      <c r="E131" s="213" t="s">
        <v>303</v>
      </c>
      <c r="F131" s="208" t="s">
        <v>309</v>
      </c>
      <c r="G131" s="214"/>
      <c r="H131" s="11">
        <v>0</v>
      </c>
      <c r="I131" s="218">
        <v>0</v>
      </c>
      <c r="J131" s="110"/>
      <c r="K131" s="94"/>
      <c r="L131" s="94"/>
      <c r="M131"/>
      <c r="N131"/>
      <c r="O131"/>
      <c r="P131"/>
      <c r="Q131"/>
      <c r="R131"/>
      <c r="S131"/>
      <c r="T131"/>
      <c r="U131"/>
      <c r="V131"/>
      <c r="W131"/>
      <c r="X131"/>
      <c r="Y131"/>
      <c r="Z131"/>
      <c r="AA131"/>
      <c r="AB131"/>
      <c r="AC131"/>
      <c r="AD131"/>
      <c r="AE131"/>
      <c r="AF131"/>
      <c r="AG131"/>
      <c r="AH131"/>
      <c r="AI131"/>
      <c r="AJ131"/>
      <c r="AK131"/>
      <c r="AL131"/>
      <c r="AM131"/>
    </row>
    <row r="132" spans="1:39" s="51" customFormat="1" ht="30.75" customHeight="1" x14ac:dyDescent="0.2">
      <c r="A132" s="70"/>
      <c r="B132" s="71"/>
      <c r="C132" s="213" t="s">
        <v>435</v>
      </c>
      <c r="D132" s="9">
        <f>3707*0.001*1280</f>
        <v>4744.96</v>
      </c>
      <c r="E132" s="213" t="s">
        <v>303</v>
      </c>
      <c r="F132" s="208" t="s">
        <v>309</v>
      </c>
      <c r="G132" s="214"/>
      <c r="H132" s="11"/>
      <c r="I132" s="218"/>
      <c r="J132" s="110"/>
      <c r="K132" s="94"/>
      <c r="L132" s="94"/>
      <c r="M132"/>
      <c r="N132"/>
      <c r="O132"/>
      <c r="P132"/>
      <c r="Q132"/>
      <c r="R132"/>
      <c r="S132"/>
      <c r="T132"/>
      <c r="U132"/>
      <c r="V132"/>
      <c r="W132"/>
      <c r="X132"/>
      <c r="Y132"/>
      <c r="Z132"/>
      <c r="AA132"/>
      <c r="AB132"/>
      <c r="AC132"/>
      <c r="AD132"/>
      <c r="AE132"/>
      <c r="AF132"/>
      <c r="AG132"/>
      <c r="AH132"/>
      <c r="AI132"/>
      <c r="AJ132"/>
      <c r="AK132"/>
      <c r="AL132"/>
      <c r="AM132"/>
    </row>
    <row r="133" spans="1:39" s="51" customFormat="1" ht="30.75" customHeight="1" x14ac:dyDescent="0.2">
      <c r="A133" s="70"/>
      <c r="B133" s="71"/>
      <c r="C133" s="213" t="s">
        <v>436</v>
      </c>
      <c r="D133" s="9">
        <f>41.4*78</f>
        <v>3229.2</v>
      </c>
      <c r="E133" s="213" t="s">
        <v>344</v>
      </c>
      <c r="F133" s="208" t="s">
        <v>401</v>
      </c>
      <c r="G133" s="214"/>
      <c r="H133" s="11"/>
      <c r="I133" s="218"/>
      <c r="J133" s="110"/>
      <c r="K133" s="94"/>
      <c r="L133" s="94"/>
      <c r="M133"/>
      <c r="N133"/>
      <c r="O133"/>
      <c r="P133"/>
      <c r="Q133"/>
      <c r="R133"/>
      <c r="S133"/>
      <c r="T133"/>
      <c r="U133"/>
      <c r="V133"/>
      <c r="W133"/>
      <c r="X133"/>
      <c r="Y133"/>
      <c r="Z133"/>
      <c r="AA133"/>
      <c r="AB133"/>
      <c r="AC133"/>
      <c r="AD133"/>
      <c r="AE133"/>
      <c r="AF133"/>
      <c r="AG133"/>
      <c r="AH133"/>
      <c r="AI133"/>
      <c r="AJ133"/>
      <c r="AK133"/>
      <c r="AL133"/>
      <c r="AM133"/>
    </row>
    <row r="134" spans="1:39" s="51" customFormat="1" ht="30.75" customHeight="1" x14ac:dyDescent="0.2">
      <c r="A134" s="70"/>
      <c r="B134" s="71"/>
      <c r="C134" s="213" t="s">
        <v>440</v>
      </c>
      <c r="D134" s="9">
        <v>2644</v>
      </c>
      <c r="E134" s="213" t="s">
        <v>437</v>
      </c>
      <c r="F134" s="208" t="s">
        <v>401</v>
      </c>
      <c r="G134" s="214"/>
      <c r="H134" s="11">
        <v>0</v>
      </c>
      <c r="I134" s="218">
        <f>D134*0.9</f>
        <v>2379.6</v>
      </c>
      <c r="J134" s="110"/>
      <c r="K134" s="94"/>
      <c r="L134" s="94"/>
      <c r="M134"/>
      <c r="N134"/>
      <c r="O134"/>
      <c r="P134"/>
      <c r="Q134"/>
      <c r="R134"/>
      <c r="S134"/>
      <c r="T134"/>
      <c r="U134"/>
      <c r="V134"/>
      <c r="W134"/>
      <c r="X134"/>
      <c r="Y134"/>
      <c r="Z134"/>
      <c r="AA134"/>
      <c r="AB134"/>
      <c r="AC134"/>
      <c r="AD134"/>
      <c r="AE134"/>
      <c r="AF134"/>
      <c r="AG134"/>
      <c r="AH134"/>
      <c r="AI134"/>
      <c r="AJ134"/>
      <c r="AK134"/>
      <c r="AL134"/>
      <c r="AM134"/>
    </row>
    <row r="135" spans="1:39" s="51" customFormat="1" ht="30.75" customHeight="1" x14ac:dyDescent="0.2">
      <c r="A135" s="70"/>
      <c r="B135" s="71"/>
      <c r="C135" s="213" t="s">
        <v>438</v>
      </c>
      <c r="D135" s="9">
        <f>108*65+14.8*858</f>
        <v>19718.400000000001</v>
      </c>
      <c r="E135" s="213" t="s">
        <v>303</v>
      </c>
      <c r="F135" s="208" t="s">
        <v>398</v>
      </c>
      <c r="G135" s="214"/>
      <c r="H135" s="11">
        <v>0</v>
      </c>
      <c r="I135" s="218">
        <v>19718.400000000001</v>
      </c>
      <c r="J135" s="110"/>
      <c r="K135" s="94"/>
      <c r="L135" s="94"/>
      <c r="M135"/>
      <c r="N135"/>
      <c r="O135"/>
      <c r="P135"/>
      <c r="Q135"/>
      <c r="R135"/>
      <c r="S135"/>
      <c r="T135"/>
      <c r="U135"/>
      <c r="V135"/>
      <c r="W135"/>
      <c r="X135"/>
      <c r="Y135"/>
      <c r="Z135"/>
      <c r="AA135"/>
      <c r="AB135"/>
      <c r="AC135"/>
      <c r="AD135"/>
      <c r="AE135"/>
      <c r="AF135"/>
      <c r="AG135"/>
      <c r="AH135"/>
      <c r="AI135"/>
      <c r="AJ135"/>
      <c r="AK135"/>
      <c r="AL135"/>
      <c r="AM135"/>
    </row>
    <row r="136" spans="1:39" s="51" customFormat="1" ht="30.75" customHeight="1" x14ac:dyDescent="0.2">
      <c r="A136" s="70"/>
      <c r="B136" s="71"/>
      <c r="C136" s="213" t="s">
        <v>439</v>
      </c>
      <c r="D136" s="216">
        <f>1273.16*2.34</f>
        <v>2979.1943999999999</v>
      </c>
      <c r="E136" s="213" t="s">
        <v>303</v>
      </c>
      <c r="F136" s="208" t="s">
        <v>404</v>
      </c>
      <c r="G136" s="214"/>
      <c r="H136" s="11">
        <v>0</v>
      </c>
      <c r="I136" s="218">
        <v>2383.3555200000001</v>
      </c>
      <c r="J136" s="110"/>
      <c r="K136" s="94"/>
      <c r="L136" s="94"/>
      <c r="M136"/>
      <c r="N136"/>
      <c r="O136"/>
      <c r="P136"/>
      <c r="Q136"/>
      <c r="R136"/>
      <c r="S136"/>
      <c r="T136"/>
      <c r="U136"/>
      <c r="V136"/>
      <c r="W136"/>
      <c r="X136"/>
      <c r="Y136"/>
      <c r="Z136"/>
      <c r="AA136"/>
      <c r="AB136"/>
      <c r="AC136"/>
      <c r="AD136"/>
      <c r="AE136"/>
      <c r="AF136"/>
      <c r="AG136"/>
      <c r="AH136"/>
      <c r="AI136"/>
      <c r="AJ136"/>
      <c r="AK136"/>
      <c r="AL136"/>
      <c r="AM136"/>
    </row>
    <row r="137" spans="1:39" s="51" customFormat="1" ht="30.75" customHeight="1" x14ac:dyDescent="0.2">
      <c r="A137" s="70"/>
      <c r="B137" s="71"/>
      <c r="C137" s="213" t="s">
        <v>441</v>
      </c>
      <c r="D137" s="9">
        <f>11.5*378</f>
        <v>4347</v>
      </c>
      <c r="E137" s="213" t="s">
        <v>303</v>
      </c>
      <c r="F137" s="208" t="s">
        <v>401</v>
      </c>
      <c r="G137" s="214"/>
      <c r="H137" s="11">
        <v>0</v>
      </c>
      <c r="I137" s="218">
        <v>3912.3</v>
      </c>
      <c r="J137" s="110"/>
      <c r="K137" s="94"/>
      <c r="L137" s="94"/>
      <c r="M137"/>
      <c r="N137"/>
      <c r="O137"/>
      <c r="P137"/>
      <c r="Q137"/>
      <c r="R137"/>
      <c r="S137"/>
      <c r="T137"/>
      <c r="U137"/>
      <c r="V137"/>
      <c r="W137"/>
      <c r="X137"/>
      <c r="Y137"/>
      <c r="Z137"/>
      <c r="AA137"/>
      <c r="AB137"/>
      <c r="AC137"/>
      <c r="AD137"/>
      <c r="AE137"/>
      <c r="AF137"/>
      <c r="AG137"/>
      <c r="AH137"/>
      <c r="AI137"/>
      <c r="AJ137"/>
      <c r="AK137"/>
      <c r="AL137"/>
      <c r="AM137"/>
    </row>
    <row r="138" spans="1:39" s="51" customFormat="1" ht="30.75" customHeight="1" x14ac:dyDescent="0.2">
      <c r="A138" s="70"/>
      <c r="B138" s="71"/>
      <c r="C138" s="213" t="s">
        <v>442</v>
      </c>
      <c r="D138" s="9">
        <f>2.58*378</f>
        <v>975.24</v>
      </c>
      <c r="E138" s="213" t="s">
        <v>303</v>
      </c>
      <c r="F138" s="208" t="s">
        <v>309</v>
      </c>
      <c r="G138" s="214"/>
      <c r="H138" s="11">
        <v>0</v>
      </c>
      <c r="I138" s="218">
        <v>0</v>
      </c>
      <c r="J138" s="110"/>
      <c r="K138" s="94"/>
      <c r="L138" s="94"/>
      <c r="M138"/>
      <c r="N138"/>
      <c r="O138"/>
      <c r="P138"/>
      <c r="Q138"/>
      <c r="R138"/>
      <c r="S138"/>
      <c r="T138"/>
      <c r="U138"/>
      <c r="V138"/>
      <c r="W138"/>
      <c r="X138"/>
      <c r="Y138"/>
      <c r="Z138"/>
      <c r="AA138"/>
      <c r="AB138"/>
      <c r="AC138"/>
      <c r="AD138"/>
      <c r="AE138"/>
      <c r="AF138"/>
      <c r="AG138"/>
      <c r="AH138"/>
      <c r="AI138"/>
      <c r="AJ138"/>
      <c r="AK138"/>
      <c r="AL138"/>
      <c r="AM138"/>
    </row>
    <row r="139" spans="1:39" s="51" customFormat="1" ht="30.75" customHeight="1" x14ac:dyDescent="0.2">
      <c r="A139" s="70"/>
      <c r="B139" s="71"/>
      <c r="C139" s="213" t="s">
        <v>443</v>
      </c>
      <c r="D139" s="9">
        <f>3.96*11331</f>
        <v>44870.76</v>
      </c>
      <c r="E139" s="213" t="s">
        <v>344</v>
      </c>
      <c r="F139" s="208" t="s">
        <v>401</v>
      </c>
      <c r="G139" s="214"/>
      <c r="H139" s="11">
        <v>0</v>
      </c>
      <c r="I139" s="218">
        <f>D139*0.9</f>
        <v>40383.684000000001</v>
      </c>
      <c r="J139" s="110"/>
      <c r="K139" s="94"/>
      <c r="L139" s="94"/>
      <c r="M139"/>
      <c r="N139"/>
      <c r="O139"/>
      <c r="P139"/>
      <c r="Q139"/>
      <c r="R139"/>
      <c r="S139"/>
      <c r="T139"/>
      <c r="U139"/>
      <c r="V139"/>
      <c r="W139"/>
      <c r="X139"/>
      <c r="Y139"/>
      <c r="Z139"/>
      <c r="AA139"/>
      <c r="AB139"/>
      <c r="AC139"/>
      <c r="AD139"/>
      <c r="AE139"/>
      <c r="AF139"/>
      <c r="AG139"/>
      <c r="AH139"/>
      <c r="AI139"/>
      <c r="AJ139"/>
      <c r="AK139"/>
      <c r="AL139"/>
      <c r="AM139"/>
    </row>
    <row r="140" spans="1:39" s="51" customFormat="1" ht="30.75" customHeight="1" x14ac:dyDescent="0.2">
      <c r="A140" s="70"/>
      <c r="B140" s="71"/>
      <c r="C140" s="213" t="s">
        <v>399</v>
      </c>
      <c r="D140" s="9">
        <v>1052</v>
      </c>
      <c r="E140" s="213" t="s">
        <v>376</v>
      </c>
      <c r="F140" s="208" t="s">
        <v>401</v>
      </c>
      <c r="G140" s="214"/>
      <c r="H140" s="11">
        <v>0</v>
      </c>
      <c r="I140" s="218">
        <v>946.80000000000007</v>
      </c>
      <c r="J140" s="110"/>
      <c r="K140" s="94"/>
      <c r="L140" s="94"/>
      <c r="M140"/>
      <c r="N140"/>
      <c r="O140"/>
      <c r="P140"/>
      <c r="Q140"/>
      <c r="R140"/>
      <c r="S140"/>
      <c r="T140"/>
      <c r="U140"/>
      <c r="V140"/>
      <c r="W140"/>
      <c r="X140"/>
      <c r="Y140"/>
      <c r="Z140"/>
      <c r="AA140"/>
      <c r="AB140"/>
      <c r="AC140"/>
      <c r="AD140"/>
      <c r="AE140"/>
      <c r="AF140"/>
      <c r="AG140"/>
      <c r="AH140"/>
      <c r="AI140"/>
      <c r="AJ140"/>
      <c r="AK140"/>
      <c r="AL140"/>
      <c r="AM140"/>
    </row>
    <row r="141" spans="1:39" s="51" customFormat="1" ht="30.75" customHeight="1" x14ac:dyDescent="0.2">
      <c r="A141" s="70"/>
      <c r="B141" s="71"/>
      <c r="C141" s="213" t="s">
        <v>400</v>
      </c>
      <c r="D141" s="9">
        <v>2249.94</v>
      </c>
      <c r="E141" s="213" t="s">
        <v>376</v>
      </c>
      <c r="F141" s="208" t="s">
        <v>393</v>
      </c>
      <c r="G141" s="214"/>
      <c r="H141" s="11">
        <v>0</v>
      </c>
      <c r="I141" s="218">
        <v>0</v>
      </c>
      <c r="J141" s="110"/>
      <c r="K141" s="94"/>
      <c r="L141" s="94"/>
      <c r="M141"/>
      <c r="N141"/>
      <c r="O141"/>
      <c r="P141"/>
      <c r="Q141"/>
      <c r="R141"/>
      <c r="S141"/>
      <c r="T141"/>
      <c r="U141"/>
      <c r="V141"/>
      <c r="W141"/>
      <c r="X141"/>
      <c r="Y141"/>
      <c r="Z141"/>
      <c r="AA141"/>
      <c r="AB141"/>
      <c r="AC141"/>
      <c r="AD141"/>
      <c r="AE141"/>
      <c r="AF141"/>
      <c r="AG141"/>
      <c r="AH141"/>
      <c r="AI141"/>
      <c r="AJ141"/>
      <c r="AK141"/>
      <c r="AL141"/>
      <c r="AM141"/>
    </row>
    <row r="142" spans="1:39" s="51" customFormat="1" ht="30.75" customHeight="1" x14ac:dyDescent="0.2">
      <c r="A142" s="70"/>
      <c r="B142" s="71"/>
      <c r="C142" s="213" t="s">
        <v>429</v>
      </c>
      <c r="D142" s="9">
        <v>2.528</v>
      </c>
      <c r="E142" s="213" t="s">
        <v>430</v>
      </c>
      <c r="F142" s="208" t="s">
        <v>401</v>
      </c>
      <c r="G142" s="214"/>
      <c r="H142" s="11">
        <v>0</v>
      </c>
      <c r="I142" s="218">
        <f>D142*0.9</f>
        <v>2.2751999999999999</v>
      </c>
      <c r="J142" s="110"/>
      <c r="K142" s="94"/>
      <c r="L142" s="94"/>
      <c r="M142"/>
      <c r="N142"/>
      <c r="O142"/>
      <c r="P142"/>
      <c r="Q142"/>
      <c r="R142"/>
      <c r="S142"/>
      <c r="T142"/>
      <c r="U142"/>
      <c r="V142"/>
      <c r="W142"/>
      <c r="X142"/>
      <c r="Y142"/>
      <c r="Z142"/>
      <c r="AA142"/>
      <c r="AB142"/>
      <c r="AC142"/>
      <c r="AD142"/>
      <c r="AE142"/>
      <c r="AF142"/>
      <c r="AG142"/>
      <c r="AH142"/>
      <c r="AI142"/>
      <c r="AJ142"/>
      <c r="AK142"/>
      <c r="AL142"/>
      <c r="AM142"/>
    </row>
    <row r="143" spans="1:39" s="51" customFormat="1" ht="30.75" customHeight="1" x14ac:dyDescent="0.2">
      <c r="A143" s="70"/>
      <c r="B143" s="71"/>
      <c r="C143" s="213" t="s">
        <v>444</v>
      </c>
      <c r="D143" s="9">
        <f>0.382*39</f>
        <v>14.898</v>
      </c>
      <c r="E143" s="213" t="s">
        <v>376</v>
      </c>
      <c r="F143" s="208" t="s">
        <v>401</v>
      </c>
      <c r="G143" s="214"/>
      <c r="H143" s="11">
        <v>0</v>
      </c>
      <c r="I143" s="218">
        <f>D143*0.9</f>
        <v>13.408200000000001</v>
      </c>
      <c r="J143" s="110"/>
      <c r="K143" s="94"/>
      <c r="L143" s="94"/>
      <c r="M143"/>
      <c r="N143"/>
      <c r="O143"/>
      <c r="P143"/>
      <c r="Q143"/>
      <c r="R143"/>
      <c r="S143"/>
      <c r="T143"/>
      <c r="U143"/>
      <c r="V143"/>
      <c r="W143"/>
      <c r="X143"/>
      <c r="Y143"/>
      <c r="Z143"/>
      <c r="AA143"/>
      <c r="AB143"/>
      <c r="AC143"/>
      <c r="AD143"/>
      <c r="AE143"/>
      <c r="AF143"/>
      <c r="AG143"/>
      <c r="AH143"/>
      <c r="AI143"/>
      <c r="AJ143"/>
      <c r="AK143"/>
      <c r="AL143"/>
      <c r="AM143"/>
    </row>
    <row r="144" spans="1:39" s="51" customFormat="1" ht="30.75" customHeight="1" x14ac:dyDescent="0.2">
      <c r="A144" s="70"/>
      <c r="B144" s="71"/>
      <c r="C144" s="213" t="s">
        <v>445</v>
      </c>
      <c r="D144" s="9">
        <f>364*0.002</f>
        <v>0.72799999999999998</v>
      </c>
      <c r="E144" s="213" t="s">
        <v>376</v>
      </c>
      <c r="F144" s="208" t="s">
        <v>401</v>
      </c>
      <c r="G144" s="214"/>
      <c r="H144" s="11">
        <v>0</v>
      </c>
      <c r="I144" s="218">
        <f>D144*0.9</f>
        <v>0.6552</v>
      </c>
      <c r="J144" s="110"/>
      <c r="K144" s="94"/>
      <c r="L144" s="94"/>
      <c r="M144"/>
      <c r="N144"/>
      <c r="O144"/>
      <c r="P144"/>
      <c r="Q144"/>
      <c r="R144"/>
      <c r="S144"/>
      <c r="T144"/>
      <c r="U144"/>
      <c r="V144"/>
      <c r="W144"/>
      <c r="X144"/>
      <c r="Y144"/>
      <c r="Z144"/>
      <c r="AA144"/>
      <c r="AB144"/>
      <c r="AC144"/>
      <c r="AD144"/>
      <c r="AE144"/>
      <c r="AF144"/>
      <c r="AG144"/>
      <c r="AH144"/>
      <c r="AI144"/>
      <c r="AJ144"/>
      <c r="AK144"/>
      <c r="AL144"/>
      <c r="AM144"/>
    </row>
    <row r="145" spans="1:39" s="51" customFormat="1" ht="30.75" customHeight="1" x14ac:dyDescent="0.2">
      <c r="A145" s="70"/>
      <c r="B145" s="71"/>
      <c r="C145" s="213" t="s">
        <v>446</v>
      </c>
      <c r="D145" s="9">
        <f>0.14*17</f>
        <v>2.3800000000000003</v>
      </c>
      <c r="E145" s="213" t="s">
        <v>376</v>
      </c>
      <c r="F145" s="208" t="s">
        <v>401</v>
      </c>
      <c r="G145" s="214"/>
      <c r="H145" s="11">
        <v>0</v>
      </c>
      <c r="I145" s="218">
        <f>D145*0.9</f>
        <v>2.1420000000000003</v>
      </c>
      <c r="J145" s="110"/>
      <c r="K145" s="94"/>
      <c r="L145" s="94"/>
      <c r="M145"/>
      <c r="N145"/>
      <c r="O145"/>
      <c r="P145"/>
      <c r="Q145"/>
      <c r="R145"/>
      <c r="S145"/>
      <c r="T145"/>
      <c r="U145"/>
      <c r="V145"/>
      <c r="W145"/>
      <c r="X145"/>
      <c r="Y145"/>
      <c r="Z145"/>
      <c r="AA145"/>
      <c r="AB145"/>
      <c r="AC145"/>
      <c r="AD145"/>
      <c r="AE145"/>
      <c r="AF145"/>
      <c r="AG145"/>
      <c r="AH145"/>
      <c r="AI145"/>
      <c r="AJ145"/>
      <c r="AK145"/>
      <c r="AL145"/>
      <c r="AM145"/>
    </row>
    <row r="146" spans="1:39" s="51" customFormat="1" ht="30.75" customHeight="1" x14ac:dyDescent="0.2">
      <c r="A146" s="70"/>
      <c r="B146" s="71"/>
      <c r="C146" s="213" t="s">
        <v>447</v>
      </c>
      <c r="D146" s="9">
        <f>6005*3.17+6.63*313+13.5*1646.7</f>
        <v>43341.49</v>
      </c>
      <c r="E146" s="213" t="s">
        <v>437</v>
      </c>
      <c r="F146" s="208" t="s">
        <v>398</v>
      </c>
      <c r="G146" s="214"/>
      <c r="H146" s="11">
        <v>0</v>
      </c>
      <c r="I146" s="218">
        <f>D146</f>
        <v>43341.49</v>
      </c>
      <c r="J146" s="110"/>
      <c r="K146" s="94"/>
      <c r="L146" s="94"/>
      <c r="M146"/>
      <c r="N146"/>
      <c r="O146"/>
      <c r="P146"/>
      <c r="Q146"/>
      <c r="R146"/>
      <c r="S146"/>
      <c r="T146"/>
      <c r="U146"/>
      <c r="V146"/>
      <c r="W146"/>
      <c r="X146"/>
      <c r="Y146"/>
      <c r="Z146"/>
      <c r="AA146"/>
      <c r="AB146"/>
      <c r="AC146"/>
      <c r="AD146"/>
      <c r="AE146"/>
      <c r="AF146"/>
      <c r="AG146"/>
      <c r="AH146"/>
      <c r="AI146"/>
      <c r="AJ146"/>
      <c r="AK146"/>
      <c r="AL146"/>
      <c r="AM146"/>
    </row>
    <row r="147" spans="1:39" s="51" customFormat="1" ht="30.75" customHeight="1" x14ac:dyDescent="0.2">
      <c r="A147" s="70"/>
      <c r="B147" s="71"/>
      <c r="C147" s="213" t="s">
        <v>449</v>
      </c>
      <c r="D147" s="9">
        <f>0.072*2630</f>
        <v>189.35999999999999</v>
      </c>
      <c r="E147" s="213" t="s">
        <v>437</v>
      </c>
      <c r="F147" s="208" t="s">
        <v>398</v>
      </c>
      <c r="G147" s="214"/>
      <c r="H147" s="11">
        <v>0</v>
      </c>
      <c r="I147" s="218">
        <f>D147</f>
        <v>189.35999999999999</v>
      </c>
      <c r="J147" s="110"/>
      <c r="K147" s="94"/>
      <c r="L147" s="94"/>
      <c r="M147"/>
      <c r="N147"/>
      <c r="O147"/>
      <c r="P147"/>
      <c r="Q147"/>
      <c r="R147"/>
      <c r="S147"/>
      <c r="T147"/>
      <c r="U147"/>
      <c r="V147"/>
      <c r="W147"/>
      <c r="X147"/>
      <c r="Y147"/>
      <c r="Z147"/>
      <c r="AA147"/>
      <c r="AB147"/>
      <c r="AC147"/>
      <c r="AD147"/>
      <c r="AE147"/>
      <c r="AF147"/>
      <c r="AG147"/>
      <c r="AH147"/>
      <c r="AI147"/>
      <c r="AJ147"/>
      <c r="AK147"/>
      <c r="AL147"/>
      <c r="AM147"/>
    </row>
    <row r="148" spans="1:39" s="51" customFormat="1" ht="30.75" customHeight="1" x14ac:dyDescent="0.2">
      <c r="A148" s="70"/>
      <c r="B148" s="71"/>
      <c r="C148" s="213" t="s">
        <v>450</v>
      </c>
      <c r="D148" s="9">
        <f>944.72</f>
        <v>944.72</v>
      </c>
      <c r="E148" s="213" t="s">
        <v>437</v>
      </c>
      <c r="F148" s="208" t="s">
        <v>398</v>
      </c>
      <c r="G148" s="214"/>
      <c r="H148" s="11">
        <v>0</v>
      </c>
      <c r="I148" s="218">
        <f>D148</f>
        <v>944.72</v>
      </c>
      <c r="J148" s="110"/>
      <c r="K148" s="94"/>
      <c r="L148" s="94"/>
      <c r="M148"/>
      <c r="N148"/>
      <c r="O148"/>
      <c r="P148"/>
      <c r="Q148"/>
      <c r="R148"/>
      <c r="S148"/>
      <c r="T148"/>
      <c r="U148"/>
      <c r="V148"/>
      <c r="W148"/>
      <c r="X148"/>
      <c r="Y148"/>
      <c r="Z148"/>
      <c r="AA148"/>
      <c r="AB148"/>
      <c r="AC148"/>
      <c r="AD148"/>
      <c r="AE148"/>
      <c r="AF148"/>
      <c r="AG148"/>
      <c r="AH148"/>
      <c r="AI148"/>
      <c r="AJ148"/>
      <c r="AK148"/>
      <c r="AL148"/>
      <c r="AM148"/>
    </row>
    <row r="149" spans="1:39" s="51" customFormat="1" ht="30.75" customHeight="1" x14ac:dyDescent="0.2">
      <c r="A149" s="70"/>
      <c r="B149" s="71"/>
      <c r="C149" s="213" t="s">
        <v>451</v>
      </c>
      <c r="D149" s="9">
        <f>650.6*0.3</f>
        <v>195.18</v>
      </c>
      <c r="E149" s="213" t="s">
        <v>437</v>
      </c>
      <c r="F149" s="208" t="s">
        <v>393</v>
      </c>
      <c r="G149" s="214"/>
      <c r="H149" s="11">
        <v>0</v>
      </c>
      <c r="I149" s="218">
        <v>0</v>
      </c>
      <c r="J149" s="110"/>
      <c r="K149" s="94"/>
      <c r="L149" s="94"/>
      <c r="M149"/>
      <c r="N149"/>
      <c r="O149"/>
      <c r="P149"/>
      <c r="Q149"/>
      <c r="R149"/>
      <c r="S149"/>
      <c r="T149"/>
      <c r="U149"/>
      <c r="V149"/>
      <c r="W149"/>
      <c r="X149"/>
      <c r="Y149"/>
      <c r="Z149"/>
      <c r="AA149"/>
      <c r="AB149"/>
      <c r="AC149"/>
      <c r="AD149"/>
      <c r="AE149"/>
      <c r="AF149"/>
      <c r="AG149"/>
      <c r="AH149"/>
      <c r="AI149"/>
      <c r="AJ149"/>
      <c r="AK149"/>
      <c r="AL149"/>
      <c r="AM149"/>
    </row>
    <row r="150" spans="1:39" s="51" customFormat="1" ht="30.75" customHeight="1" x14ac:dyDescent="0.2">
      <c r="A150" s="70"/>
      <c r="B150" s="71"/>
      <c r="C150" s="213" t="s">
        <v>452</v>
      </c>
      <c r="D150" s="9">
        <f>1646.5</f>
        <v>1646.5</v>
      </c>
      <c r="E150" s="213" t="s">
        <v>437</v>
      </c>
      <c r="F150" s="208" t="s">
        <v>453</v>
      </c>
      <c r="G150" s="214"/>
      <c r="H150" s="11">
        <v>0</v>
      </c>
      <c r="I150" s="218">
        <f>D150</f>
        <v>1646.5</v>
      </c>
      <c r="J150" s="110"/>
      <c r="K150" s="94"/>
      <c r="L150" s="94"/>
      <c r="M150"/>
      <c r="N150"/>
      <c r="O150"/>
      <c r="P150"/>
      <c r="Q150"/>
      <c r="R150"/>
      <c r="S150"/>
      <c r="T150"/>
      <c r="U150"/>
      <c r="V150"/>
      <c r="W150"/>
      <c r="X150"/>
      <c r="Y150"/>
      <c r="Z150"/>
      <c r="AA150"/>
      <c r="AB150"/>
      <c r="AC150"/>
      <c r="AD150"/>
      <c r="AE150"/>
      <c r="AF150"/>
      <c r="AG150"/>
      <c r="AH150"/>
      <c r="AI150"/>
      <c r="AJ150"/>
      <c r="AK150"/>
      <c r="AL150"/>
      <c r="AM150"/>
    </row>
    <row r="151" spans="1:39" s="51" customFormat="1" ht="30.75" customHeight="1" x14ac:dyDescent="0.2">
      <c r="A151" s="70"/>
      <c r="B151" s="71"/>
      <c r="C151" s="213" t="s">
        <v>454</v>
      </c>
      <c r="D151" s="9">
        <f>2.7*6.5</f>
        <v>17.55</v>
      </c>
      <c r="E151" s="213" t="s">
        <v>437</v>
      </c>
      <c r="F151" s="208" t="s">
        <v>393</v>
      </c>
      <c r="G151" s="214"/>
      <c r="H151" s="11">
        <v>0</v>
      </c>
      <c r="I151" s="218">
        <v>0</v>
      </c>
      <c r="J151" s="110"/>
      <c r="K151" s="94"/>
      <c r="L151" s="94"/>
      <c r="M151"/>
      <c r="N151"/>
      <c r="O151"/>
      <c r="P151"/>
      <c r="Q151"/>
      <c r="R151"/>
      <c r="S151"/>
      <c r="T151"/>
      <c r="U151"/>
      <c r="V151"/>
      <c r="W151"/>
      <c r="X151"/>
      <c r="Y151"/>
      <c r="Z151"/>
      <c r="AA151"/>
      <c r="AB151"/>
      <c r="AC151"/>
      <c r="AD151"/>
      <c r="AE151"/>
      <c r="AF151"/>
      <c r="AG151"/>
      <c r="AH151"/>
      <c r="AI151"/>
      <c r="AJ151"/>
      <c r="AK151"/>
      <c r="AL151"/>
      <c r="AM151"/>
    </row>
    <row r="152" spans="1:39" s="51" customFormat="1" ht="30.75" customHeight="1" x14ac:dyDescent="0.2">
      <c r="A152" s="70"/>
      <c r="B152" s="71"/>
      <c r="C152" s="213" t="s">
        <v>455</v>
      </c>
      <c r="D152" s="216">
        <f>15*16.23</f>
        <v>243.45000000000002</v>
      </c>
      <c r="E152" s="213" t="s">
        <v>437</v>
      </c>
      <c r="F152" s="208" t="s">
        <v>393</v>
      </c>
      <c r="G152" s="214"/>
      <c r="H152" s="11">
        <v>0</v>
      </c>
      <c r="I152" s="218">
        <v>0</v>
      </c>
      <c r="J152" s="110"/>
      <c r="K152" s="94"/>
      <c r="L152" s="94"/>
      <c r="M152"/>
      <c r="N152"/>
      <c r="O152"/>
      <c r="P152"/>
      <c r="Q152"/>
      <c r="R152"/>
      <c r="S152"/>
      <c r="T152"/>
      <c r="U152"/>
      <c r="V152"/>
      <c r="W152"/>
      <c r="X152"/>
      <c r="Y152"/>
      <c r="Z152"/>
      <c r="AA152"/>
      <c r="AB152"/>
      <c r="AC152"/>
      <c r="AD152"/>
      <c r="AE152"/>
      <c r="AF152"/>
      <c r="AG152"/>
      <c r="AH152"/>
      <c r="AI152"/>
      <c r="AJ152"/>
      <c r="AK152"/>
      <c r="AL152"/>
      <c r="AM152"/>
    </row>
    <row r="153" spans="1:39" s="51" customFormat="1" ht="30.75" customHeight="1" x14ac:dyDescent="0.2">
      <c r="A153" s="70"/>
      <c r="B153" s="71"/>
      <c r="C153" s="213" t="s">
        <v>456</v>
      </c>
      <c r="D153" s="216">
        <f>6*17.53+0.3*36.4</f>
        <v>116.10000000000001</v>
      </c>
      <c r="E153" s="213" t="s">
        <v>437</v>
      </c>
      <c r="F153" s="208" t="s">
        <v>401</v>
      </c>
      <c r="G153" s="214"/>
      <c r="H153" s="11">
        <v>0</v>
      </c>
      <c r="I153" s="218">
        <f>D153*0.9</f>
        <v>104.49000000000001</v>
      </c>
      <c r="J153" s="110"/>
      <c r="K153" s="94"/>
      <c r="L153" s="94"/>
      <c r="M153"/>
      <c r="N153"/>
      <c r="O153"/>
      <c r="P153"/>
      <c r="Q153"/>
      <c r="R153"/>
      <c r="S153"/>
      <c r="T153"/>
      <c r="U153"/>
      <c r="V153"/>
      <c r="W153"/>
      <c r="X153"/>
      <c r="Y153"/>
      <c r="Z153"/>
      <c r="AA153"/>
      <c r="AB153"/>
      <c r="AC153"/>
      <c r="AD153"/>
      <c r="AE153"/>
      <c r="AF153"/>
      <c r="AG153"/>
      <c r="AH153"/>
      <c r="AI153"/>
      <c r="AJ153"/>
      <c r="AK153"/>
      <c r="AL153"/>
      <c r="AM153"/>
    </row>
    <row r="154" spans="1:39" s="51" customFormat="1" ht="30.75" customHeight="1" x14ac:dyDescent="0.2">
      <c r="A154" s="70"/>
      <c r="B154" s="71"/>
      <c r="C154" s="213" t="s">
        <v>457</v>
      </c>
      <c r="D154" s="216">
        <f>358.4</f>
        <v>358.4</v>
      </c>
      <c r="E154" s="213" t="s">
        <v>437</v>
      </c>
      <c r="F154" s="208" t="s">
        <v>393</v>
      </c>
      <c r="G154" s="214"/>
      <c r="H154" s="11">
        <v>0</v>
      </c>
      <c r="I154" s="218">
        <v>0</v>
      </c>
      <c r="J154" s="110"/>
      <c r="K154" s="94"/>
      <c r="L154" s="94"/>
      <c r="M154"/>
      <c r="N154"/>
      <c r="O154"/>
      <c r="P154"/>
      <c r="Q154"/>
      <c r="R154"/>
      <c r="S154"/>
      <c r="T154"/>
      <c r="U154"/>
      <c r="V154"/>
      <c r="W154"/>
      <c r="X154"/>
      <c r="Y154"/>
      <c r="Z154"/>
      <c r="AA154"/>
      <c r="AB154"/>
      <c r="AC154"/>
      <c r="AD154"/>
      <c r="AE154"/>
      <c r="AF154"/>
      <c r="AG154"/>
      <c r="AH154"/>
      <c r="AI154"/>
      <c r="AJ154"/>
      <c r="AK154"/>
      <c r="AL154"/>
      <c r="AM154"/>
    </row>
    <row r="155" spans="1:39" s="51" customFormat="1" ht="30.75" customHeight="1" x14ac:dyDescent="0.2">
      <c r="A155" s="70"/>
      <c r="B155" s="71"/>
      <c r="C155" s="208" t="s">
        <v>458</v>
      </c>
      <c r="D155" s="216">
        <f>9.855*7.13</f>
        <v>70.266149999999996</v>
      </c>
      <c r="E155" s="213" t="s">
        <v>344</v>
      </c>
      <c r="F155" s="208" t="s">
        <v>304</v>
      </c>
      <c r="G155" s="214"/>
      <c r="H155" s="11">
        <v>0</v>
      </c>
      <c r="I155" s="218">
        <f>D155</f>
        <v>70.266149999999996</v>
      </c>
      <c r="J155" s="110"/>
      <c r="K155" s="94"/>
      <c r="L155" s="94"/>
      <c r="M155"/>
      <c r="N155"/>
      <c r="O155"/>
      <c r="P155"/>
      <c r="Q155"/>
      <c r="R155"/>
      <c r="S155"/>
      <c r="T155"/>
      <c r="U155"/>
      <c r="V155"/>
      <c r="W155"/>
      <c r="X155"/>
      <c r="Y155"/>
      <c r="Z155"/>
      <c r="AA155"/>
      <c r="AB155"/>
      <c r="AC155"/>
      <c r="AD155"/>
      <c r="AE155"/>
      <c r="AF155"/>
      <c r="AG155"/>
      <c r="AH155"/>
      <c r="AI155"/>
      <c r="AJ155"/>
      <c r="AK155"/>
      <c r="AL155"/>
      <c r="AM155"/>
    </row>
    <row r="156" spans="1:39" s="51" customFormat="1" ht="30.75" customHeight="1" x14ac:dyDescent="0.2">
      <c r="A156" s="70"/>
      <c r="B156" s="71"/>
      <c r="C156" s="213" t="s">
        <v>459</v>
      </c>
      <c r="D156" s="216">
        <f>1.24*3080.83</f>
        <v>3820.2291999999998</v>
      </c>
      <c r="E156" s="213" t="s">
        <v>344</v>
      </c>
      <c r="F156" s="208" t="s">
        <v>401</v>
      </c>
      <c r="G156" s="214"/>
      <c r="H156" s="11">
        <v>0</v>
      </c>
      <c r="I156" s="218">
        <f>D156*0.9</f>
        <v>3438.2062799999999</v>
      </c>
      <c r="J156" s="110"/>
      <c r="K156" s="94"/>
      <c r="L156" s="94"/>
      <c r="M156"/>
      <c r="N156"/>
      <c r="O156"/>
      <c r="P156"/>
      <c r="Q156"/>
      <c r="R156"/>
      <c r="S156"/>
      <c r="T156"/>
      <c r="U156"/>
      <c r="V156"/>
      <c r="W156"/>
      <c r="X156"/>
      <c r="Y156"/>
      <c r="Z156"/>
      <c r="AA156"/>
      <c r="AB156"/>
      <c r="AC156"/>
      <c r="AD156"/>
      <c r="AE156"/>
      <c r="AF156"/>
      <c r="AG156"/>
      <c r="AH156"/>
      <c r="AI156"/>
      <c r="AJ156"/>
      <c r="AK156"/>
      <c r="AL156"/>
      <c r="AM156"/>
    </row>
    <row r="157" spans="1:39" s="51" customFormat="1" ht="30.75" customHeight="1" x14ac:dyDescent="0.2">
      <c r="A157" s="70"/>
      <c r="B157" s="71"/>
      <c r="C157" s="213" t="s">
        <v>460</v>
      </c>
      <c r="D157" s="216">
        <f>0.3*650+6*142+2.3*42</f>
        <v>1143.5999999999999</v>
      </c>
      <c r="E157" s="213" t="s">
        <v>344</v>
      </c>
      <c r="F157" s="208" t="s">
        <v>401</v>
      </c>
      <c r="G157" s="214"/>
      <c r="H157" s="11">
        <v>0</v>
      </c>
      <c r="I157" s="218">
        <f>D157*0.9</f>
        <v>1029.24</v>
      </c>
      <c r="J157" s="110"/>
      <c r="K157" s="94"/>
      <c r="L157" s="94"/>
      <c r="M157"/>
      <c r="N157"/>
      <c r="O157"/>
      <c r="P157"/>
      <c r="Q157"/>
      <c r="R157"/>
      <c r="S157"/>
      <c r="T157"/>
      <c r="U157"/>
      <c r="V157"/>
      <c r="W157"/>
      <c r="X157"/>
      <c r="Y157"/>
      <c r="Z157"/>
      <c r="AA157"/>
      <c r="AB157"/>
      <c r="AC157"/>
      <c r="AD157"/>
      <c r="AE157"/>
      <c r="AF157"/>
      <c r="AG157"/>
      <c r="AH157"/>
      <c r="AI157"/>
      <c r="AJ157"/>
      <c r="AK157"/>
      <c r="AL157"/>
      <c r="AM157"/>
    </row>
    <row r="158" spans="1:39" s="51" customFormat="1" ht="30.75" customHeight="1" x14ac:dyDescent="0.2">
      <c r="A158" s="70"/>
      <c r="B158" s="71"/>
      <c r="C158" s="213" t="s">
        <v>461</v>
      </c>
      <c r="D158" s="216">
        <f>0.867*1</f>
        <v>0.86699999999999999</v>
      </c>
      <c r="E158" s="213" t="s">
        <v>344</v>
      </c>
      <c r="F158" s="208" t="s">
        <v>401</v>
      </c>
      <c r="G158" s="214"/>
      <c r="H158" s="11">
        <v>0</v>
      </c>
      <c r="I158" s="218">
        <f>D158*0.9</f>
        <v>0.78029999999999999</v>
      </c>
      <c r="J158" s="110"/>
      <c r="K158" s="94"/>
      <c r="L158" s="94"/>
      <c r="M158"/>
      <c r="N158"/>
      <c r="O158"/>
      <c r="P158"/>
      <c r="Q158"/>
      <c r="R158"/>
      <c r="S158"/>
      <c r="T158"/>
      <c r="U158"/>
      <c r="V158"/>
      <c r="W158"/>
      <c r="X158"/>
      <c r="Y158"/>
      <c r="Z158"/>
      <c r="AA158"/>
      <c r="AB158"/>
      <c r="AC158"/>
      <c r="AD158"/>
      <c r="AE158"/>
      <c r="AF158"/>
      <c r="AG158"/>
      <c r="AH158"/>
      <c r="AI158"/>
      <c r="AJ158"/>
      <c r="AK158"/>
      <c r="AL158"/>
      <c r="AM158"/>
    </row>
    <row r="159" spans="1:39" s="51" customFormat="1" ht="30.75" customHeight="1" x14ac:dyDescent="0.2">
      <c r="A159" s="70"/>
      <c r="B159" s="71"/>
      <c r="C159" s="213" t="s">
        <v>462</v>
      </c>
      <c r="D159" s="216">
        <f>4.32*17</f>
        <v>73.44</v>
      </c>
      <c r="E159" s="213" t="s">
        <v>344</v>
      </c>
      <c r="F159" s="208" t="s">
        <v>401</v>
      </c>
      <c r="G159" s="214"/>
      <c r="H159" s="11">
        <v>0</v>
      </c>
      <c r="I159" s="218">
        <f>0.9*D159</f>
        <v>66.096000000000004</v>
      </c>
      <c r="J159" s="110"/>
      <c r="K159" s="94"/>
      <c r="L159" s="94"/>
      <c r="M159"/>
      <c r="N159"/>
      <c r="O159"/>
      <c r="P159"/>
      <c r="Q159"/>
      <c r="R159"/>
      <c r="S159"/>
      <c r="T159"/>
      <c r="U159"/>
      <c r="V159"/>
      <c r="W159"/>
      <c r="X159"/>
      <c r="Y159"/>
      <c r="Z159"/>
      <c r="AA159"/>
      <c r="AB159"/>
      <c r="AC159"/>
      <c r="AD159"/>
      <c r="AE159"/>
      <c r="AF159"/>
      <c r="AG159"/>
      <c r="AH159"/>
      <c r="AI159"/>
      <c r="AJ159"/>
      <c r="AK159"/>
      <c r="AL159"/>
      <c r="AM159"/>
    </row>
    <row r="160" spans="1:39" s="51" customFormat="1" ht="30.75" customHeight="1" x14ac:dyDescent="0.2">
      <c r="A160" s="70"/>
      <c r="B160" s="71"/>
      <c r="C160" s="213" t="s">
        <v>463</v>
      </c>
      <c r="D160" s="216">
        <f>2.7*1.3</f>
        <v>3.5100000000000002</v>
      </c>
      <c r="E160" s="213" t="s">
        <v>344</v>
      </c>
      <c r="F160" s="208" t="s">
        <v>393</v>
      </c>
      <c r="G160" s="214"/>
      <c r="H160" s="11">
        <v>0</v>
      </c>
      <c r="I160" s="218">
        <v>0</v>
      </c>
      <c r="J160" s="110"/>
      <c r="K160" s="94"/>
      <c r="L160" s="94"/>
      <c r="M160"/>
      <c r="N160"/>
      <c r="O160"/>
      <c r="P160"/>
      <c r="Q160"/>
      <c r="R160"/>
      <c r="S160"/>
      <c r="T160"/>
      <c r="U160"/>
      <c r="V160"/>
      <c r="W160"/>
      <c r="X160"/>
      <c r="Y160"/>
      <c r="Z160"/>
      <c r="AA160"/>
      <c r="AB160"/>
      <c r="AC160"/>
      <c r="AD160"/>
      <c r="AE160"/>
      <c r="AF160"/>
      <c r="AG160"/>
      <c r="AH160"/>
      <c r="AI160"/>
      <c r="AJ160"/>
      <c r="AK160"/>
      <c r="AL160"/>
      <c r="AM160"/>
    </row>
    <row r="161" spans="1:39" s="51" customFormat="1" ht="30.75" customHeight="1" x14ac:dyDescent="0.2">
      <c r="A161" s="70"/>
      <c r="B161" s="71"/>
      <c r="C161" s="208" t="s">
        <v>464</v>
      </c>
      <c r="D161" s="216">
        <f>90*38.24</f>
        <v>3441.6000000000004</v>
      </c>
      <c r="E161" s="213" t="s">
        <v>344</v>
      </c>
      <c r="F161" s="208" t="s">
        <v>401</v>
      </c>
      <c r="G161" s="214"/>
      <c r="H161" s="11">
        <v>0</v>
      </c>
      <c r="I161" s="218">
        <f>D161*0.9</f>
        <v>3097.4400000000005</v>
      </c>
      <c r="J161" s="110"/>
      <c r="K161" s="94"/>
      <c r="L161" s="94"/>
      <c r="M161"/>
      <c r="N161"/>
      <c r="O161"/>
      <c r="P161"/>
      <c r="Q161"/>
      <c r="R161"/>
      <c r="S161"/>
      <c r="T161"/>
      <c r="U161"/>
      <c r="V161"/>
      <c r="W161"/>
      <c r="X161"/>
      <c r="Y161"/>
      <c r="Z161"/>
      <c r="AA161"/>
      <c r="AB161"/>
      <c r="AC161"/>
      <c r="AD161"/>
      <c r="AE161"/>
      <c r="AF161"/>
      <c r="AG161"/>
      <c r="AH161"/>
      <c r="AI161"/>
      <c r="AJ161"/>
      <c r="AK161"/>
      <c r="AL161"/>
      <c r="AM161"/>
    </row>
    <row r="162" spans="1:39" s="51" customFormat="1" ht="30.75" customHeight="1" x14ac:dyDescent="0.2">
      <c r="A162" s="70"/>
      <c r="B162" s="71"/>
      <c r="C162" s="213" t="s">
        <v>465</v>
      </c>
      <c r="D162" s="216">
        <f>2.7*145.2</f>
        <v>392.04</v>
      </c>
      <c r="E162" s="213" t="s">
        <v>344</v>
      </c>
      <c r="F162" s="208" t="s">
        <v>309</v>
      </c>
      <c r="G162" s="214"/>
      <c r="H162" s="11">
        <v>0</v>
      </c>
      <c r="I162" s="218">
        <v>0</v>
      </c>
      <c r="J162" s="110"/>
      <c r="K162" s="94"/>
      <c r="L162" s="94"/>
      <c r="M162"/>
      <c r="N162"/>
      <c r="O162"/>
      <c r="P162"/>
      <c r="Q162"/>
      <c r="R162"/>
      <c r="S162"/>
      <c r="T162"/>
      <c r="U162"/>
      <c r="V162"/>
      <c r="W162"/>
      <c r="X162"/>
      <c r="Y162"/>
      <c r="Z162"/>
      <c r="AA162"/>
      <c r="AB162"/>
      <c r="AC162"/>
      <c r="AD162"/>
      <c r="AE162"/>
      <c r="AF162"/>
      <c r="AG162"/>
      <c r="AH162"/>
      <c r="AI162"/>
      <c r="AJ162"/>
      <c r="AK162"/>
      <c r="AL162"/>
      <c r="AM162"/>
    </row>
    <row r="163" spans="1:39" s="51" customFormat="1" ht="30.75" customHeight="1" x14ac:dyDescent="0.2">
      <c r="A163" s="70"/>
      <c r="B163" s="71"/>
      <c r="C163" s="213" t="s">
        <v>466</v>
      </c>
      <c r="D163" s="216">
        <f>1.964*16.2+4.8*2.6</f>
        <v>44.296799999999998</v>
      </c>
      <c r="E163" s="213" t="s">
        <v>344</v>
      </c>
      <c r="F163" s="208" t="s">
        <v>401</v>
      </c>
      <c r="G163" s="214"/>
      <c r="H163" s="11">
        <v>0</v>
      </c>
      <c r="I163" s="218">
        <f>D163*0.9</f>
        <v>39.86712</v>
      </c>
      <c r="J163" s="110"/>
      <c r="K163" s="94"/>
      <c r="L163" s="94"/>
      <c r="M163"/>
      <c r="N163"/>
      <c r="O163"/>
      <c r="P163"/>
      <c r="Q163"/>
      <c r="R163"/>
      <c r="S163"/>
      <c r="T163"/>
      <c r="U163"/>
      <c r="V163"/>
      <c r="W163"/>
      <c r="X163"/>
      <c r="Y163"/>
      <c r="Z163"/>
      <c r="AA163"/>
      <c r="AB163"/>
      <c r="AC163"/>
      <c r="AD163"/>
      <c r="AE163"/>
      <c r="AF163"/>
      <c r="AG163"/>
      <c r="AH163"/>
      <c r="AI163"/>
      <c r="AJ163"/>
      <c r="AK163"/>
      <c r="AL163"/>
      <c r="AM163"/>
    </row>
    <row r="164" spans="1:39" s="51" customFormat="1" ht="30.75" customHeight="1" x14ac:dyDescent="0.2">
      <c r="A164" s="70"/>
      <c r="B164" s="71"/>
      <c r="C164" s="213" t="s">
        <v>467</v>
      </c>
      <c r="D164" s="216">
        <v>486.14</v>
      </c>
      <c r="E164" s="213" t="s">
        <v>344</v>
      </c>
      <c r="F164" s="208" t="s">
        <v>397</v>
      </c>
      <c r="G164" s="214"/>
      <c r="H164" s="11">
        <v>0</v>
      </c>
      <c r="I164" s="218">
        <f>D164</f>
        <v>486.14</v>
      </c>
      <c r="J164" s="110"/>
      <c r="K164" s="94"/>
      <c r="L164" s="94"/>
      <c r="M164"/>
      <c r="N164"/>
      <c r="O164"/>
      <c r="P164"/>
      <c r="Q164"/>
      <c r="R164"/>
      <c r="S164"/>
      <c r="T164"/>
      <c r="U164"/>
      <c r="V164"/>
      <c r="W164"/>
      <c r="X164"/>
      <c r="Y164"/>
      <c r="Z164"/>
      <c r="AA164"/>
      <c r="AB164"/>
      <c r="AC164"/>
      <c r="AD164"/>
      <c r="AE164"/>
      <c r="AF164"/>
      <c r="AG164"/>
      <c r="AH164"/>
      <c r="AI164"/>
      <c r="AJ164"/>
      <c r="AK164"/>
      <c r="AL164"/>
      <c r="AM164"/>
    </row>
    <row r="165" spans="1:39" s="51" customFormat="1" ht="30.75" customHeight="1" x14ac:dyDescent="0.2">
      <c r="A165" s="70"/>
      <c r="B165" s="71"/>
      <c r="C165" s="213" t="s">
        <v>468</v>
      </c>
      <c r="D165" s="216">
        <f>38.1*2</f>
        <v>76.2</v>
      </c>
      <c r="E165" s="213" t="s">
        <v>344</v>
      </c>
      <c r="F165" s="208" t="s">
        <v>393</v>
      </c>
      <c r="G165" s="214"/>
      <c r="H165" s="11">
        <v>0</v>
      </c>
      <c r="I165" s="218">
        <v>0</v>
      </c>
      <c r="J165" s="110"/>
      <c r="K165" s="94"/>
      <c r="L165" s="94"/>
      <c r="M165"/>
      <c r="N165"/>
      <c r="O165"/>
      <c r="P165"/>
      <c r="Q165"/>
      <c r="R165"/>
      <c r="S165"/>
      <c r="T165"/>
      <c r="U165"/>
      <c r="V165"/>
      <c r="W165"/>
      <c r="X165"/>
      <c r="Y165"/>
      <c r="Z165"/>
      <c r="AA165"/>
      <c r="AB165"/>
      <c r="AC165"/>
      <c r="AD165"/>
      <c r="AE165"/>
      <c r="AF165"/>
      <c r="AG165"/>
      <c r="AH165"/>
      <c r="AI165"/>
      <c r="AJ165"/>
      <c r="AK165"/>
      <c r="AL165"/>
      <c r="AM165"/>
    </row>
    <row r="166" spans="1:39" s="51" customFormat="1" ht="30.75" customHeight="1" x14ac:dyDescent="0.2">
      <c r="A166" s="70"/>
      <c r="B166" s="71"/>
      <c r="C166" s="213" t="s">
        <v>469</v>
      </c>
      <c r="D166" s="216">
        <f>1.3*0.26</f>
        <v>0.33800000000000002</v>
      </c>
      <c r="E166" s="213" t="s">
        <v>344</v>
      </c>
      <c r="F166" s="208" t="s">
        <v>307</v>
      </c>
      <c r="G166" s="214"/>
      <c r="H166" s="11">
        <v>0</v>
      </c>
      <c r="I166" s="218">
        <f>D166</f>
        <v>0.33800000000000002</v>
      </c>
      <c r="J166" s="110"/>
      <c r="K166" s="94"/>
      <c r="L166" s="94"/>
      <c r="M166"/>
      <c r="N166"/>
      <c r="O166"/>
      <c r="P166"/>
      <c r="Q166"/>
      <c r="R166"/>
      <c r="S166"/>
      <c r="T166"/>
      <c r="U166"/>
      <c r="V166"/>
      <c r="W166"/>
      <c r="X166"/>
      <c r="Y166"/>
      <c r="Z166"/>
      <c r="AA166"/>
      <c r="AB166"/>
      <c r="AC166"/>
      <c r="AD166"/>
      <c r="AE166"/>
      <c r="AF166"/>
      <c r="AG166"/>
      <c r="AH166"/>
      <c r="AI166"/>
      <c r="AJ166"/>
      <c r="AK166"/>
      <c r="AL166"/>
      <c r="AM166"/>
    </row>
    <row r="167" spans="1:39" s="51" customFormat="1" ht="30.75" customHeight="1" x14ac:dyDescent="0.2">
      <c r="A167" s="70"/>
      <c r="B167" s="71"/>
      <c r="C167" s="213" t="s">
        <v>470</v>
      </c>
      <c r="D167" s="216">
        <f>3.17*45.4</f>
        <v>143.91800000000001</v>
      </c>
      <c r="E167" s="213" t="s">
        <v>344</v>
      </c>
      <c r="F167" s="208" t="s">
        <v>401</v>
      </c>
      <c r="G167" s="214"/>
      <c r="H167" s="11">
        <v>0</v>
      </c>
      <c r="I167" s="218">
        <f>D167*0.9</f>
        <v>129.52620000000002</v>
      </c>
      <c r="J167" s="110"/>
      <c r="K167" s="94"/>
      <c r="L167" s="94"/>
      <c r="M167"/>
      <c r="N167"/>
      <c r="O167"/>
      <c r="P167"/>
      <c r="Q167"/>
      <c r="R167"/>
      <c r="S167"/>
      <c r="T167"/>
      <c r="U167"/>
      <c r="V167"/>
      <c r="W167"/>
      <c r="X167"/>
      <c r="Y167"/>
      <c r="Z167"/>
      <c r="AA167"/>
      <c r="AB167"/>
      <c r="AC167"/>
      <c r="AD167"/>
      <c r="AE167"/>
      <c r="AF167"/>
      <c r="AG167"/>
      <c r="AH167"/>
      <c r="AI167"/>
      <c r="AJ167"/>
      <c r="AK167"/>
      <c r="AL167"/>
      <c r="AM167"/>
    </row>
    <row r="168" spans="1:39" s="51" customFormat="1" ht="30.75" customHeight="1" x14ac:dyDescent="0.2">
      <c r="A168" s="70"/>
      <c r="B168" s="71"/>
      <c r="C168" s="213" t="s">
        <v>471</v>
      </c>
      <c r="D168" s="216">
        <f>1950.07*3.68</f>
        <v>7176.2575999999999</v>
      </c>
      <c r="E168" s="213" t="s">
        <v>344</v>
      </c>
      <c r="F168" s="208" t="s">
        <v>307</v>
      </c>
      <c r="G168" s="214"/>
      <c r="H168" s="11">
        <v>0</v>
      </c>
      <c r="I168" s="11">
        <f>D168</f>
        <v>7176.2575999999999</v>
      </c>
      <c r="J168" s="110"/>
      <c r="K168" s="94"/>
      <c r="L168" s="94"/>
      <c r="M168"/>
      <c r="N168"/>
      <c r="O168"/>
      <c r="P168"/>
      <c r="Q168"/>
      <c r="R168"/>
      <c r="S168"/>
      <c r="T168"/>
      <c r="U168"/>
      <c r="V168"/>
      <c r="W168"/>
      <c r="X168"/>
      <c r="Y168"/>
      <c r="Z168"/>
      <c r="AA168"/>
      <c r="AB168"/>
      <c r="AC168"/>
      <c r="AD168"/>
      <c r="AE168"/>
      <c r="AF168"/>
      <c r="AG168"/>
      <c r="AH168"/>
      <c r="AI168"/>
      <c r="AJ168"/>
      <c r="AK168"/>
      <c r="AL168"/>
      <c r="AM168"/>
    </row>
    <row r="169" spans="1:39" s="51" customFormat="1" ht="30.75" customHeight="1" x14ac:dyDescent="0.2">
      <c r="A169" s="70"/>
      <c r="B169" s="71"/>
      <c r="C169" s="213" t="s">
        <v>472</v>
      </c>
      <c r="D169" s="9">
        <v>778.5</v>
      </c>
      <c r="E169" s="213" t="s">
        <v>344</v>
      </c>
      <c r="F169" s="208" t="s">
        <v>304</v>
      </c>
      <c r="G169" s="214"/>
      <c r="H169" s="11">
        <v>0</v>
      </c>
      <c r="I169" s="11">
        <f>D169</f>
        <v>778.5</v>
      </c>
      <c r="J169" s="110"/>
      <c r="K169" s="94"/>
      <c r="L169" s="94"/>
      <c r="M169"/>
      <c r="N169"/>
      <c r="O169"/>
      <c r="P169"/>
      <c r="Q169"/>
      <c r="R169"/>
      <c r="S169"/>
      <c r="T169"/>
      <c r="U169"/>
      <c r="V169"/>
      <c r="W169"/>
      <c r="X169"/>
      <c r="Y169"/>
      <c r="Z169"/>
      <c r="AA169"/>
      <c r="AB169"/>
      <c r="AC169"/>
      <c r="AD169"/>
      <c r="AE169"/>
      <c r="AF169"/>
      <c r="AG169"/>
      <c r="AH169"/>
      <c r="AI169"/>
      <c r="AJ169"/>
      <c r="AK169"/>
      <c r="AL169"/>
      <c r="AM169"/>
    </row>
    <row r="170" spans="1:39" s="51" customFormat="1" ht="30.75" customHeight="1" x14ac:dyDescent="0.2">
      <c r="A170" s="70"/>
      <c r="B170" s="71"/>
      <c r="C170" s="213" t="s">
        <v>473</v>
      </c>
      <c r="D170" s="9">
        <f>8*81.77</f>
        <v>654.16</v>
      </c>
      <c r="E170" s="213" t="s">
        <v>344</v>
      </c>
      <c r="F170" s="208" t="s">
        <v>401</v>
      </c>
      <c r="G170" s="214"/>
      <c r="H170" s="11">
        <v>0</v>
      </c>
      <c r="I170" s="11">
        <f>D170*0.9</f>
        <v>588.74400000000003</v>
      </c>
      <c r="J170" s="110"/>
      <c r="K170" s="94"/>
      <c r="L170" s="94"/>
      <c r="M170"/>
      <c r="N170"/>
      <c r="O170"/>
      <c r="P170"/>
      <c r="Q170"/>
      <c r="R170"/>
      <c r="S170"/>
      <c r="T170"/>
      <c r="U170"/>
      <c r="V170"/>
      <c r="W170"/>
      <c r="X170"/>
      <c r="Y170"/>
      <c r="Z170"/>
      <c r="AA170"/>
      <c r="AB170"/>
      <c r="AC170"/>
      <c r="AD170"/>
      <c r="AE170"/>
      <c r="AF170"/>
      <c r="AG170"/>
      <c r="AH170"/>
      <c r="AI170"/>
      <c r="AJ170"/>
      <c r="AK170"/>
      <c r="AL170"/>
      <c r="AM170"/>
    </row>
    <row r="171" spans="1:39" s="51" customFormat="1" ht="30.75" customHeight="1" x14ac:dyDescent="0.2">
      <c r="A171" s="70"/>
      <c r="B171" s="71"/>
      <c r="C171" s="213" t="s">
        <v>474</v>
      </c>
      <c r="D171" s="9">
        <f>18.1*4</f>
        <v>72.400000000000006</v>
      </c>
      <c r="E171" s="213" t="s">
        <v>402</v>
      </c>
      <c r="F171" s="208" t="s">
        <v>393</v>
      </c>
      <c r="G171" s="214"/>
      <c r="H171" s="11">
        <v>0</v>
      </c>
      <c r="I171" s="11">
        <v>0</v>
      </c>
      <c r="J171" s="110"/>
      <c r="K171" s="94"/>
      <c r="L171" s="94"/>
      <c r="M171"/>
      <c r="N171"/>
      <c r="O171"/>
      <c r="P171"/>
      <c r="Q171"/>
      <c r="R171"/>
      <c r="S171"/>
      <c r="T171"/>
      <c r="U171"/>
      <c r="V171"/>
      <c r="W171"/>
      <c r="X171"/>
      <c r="Y171"/>
      <c r="Z171"/>
      <c r="AA171"/>
      <c r="AB171"/>
      <c r="AC171"/>
      <c r="AD171"/>
      <c r="AE171"/>
      <c r="AF171"/>
      <c r="AG171"/>
      <c r="AH171"/>
      <c r="AI171"/>
      <c r="AJ171"/>
      <c r="AK171"/>
      <c r="AL171"/>
      <c r="AM171"/>
    </row>
    <row r="172" spans="1:39" s="51" customFormat="1" ht="30.75" customHeight="1" x14ac:dyDescent="0.2">
      <c r="A172" s="70"/>
      <c r="B172" s="71"/>
      <c r="C172" s="213" t="s">
        <v>475</v>
      </c>
      <c r="D172" s="9">
        <v>652.12</v>
      </c>
      <c r="E172" s="213" t="s">
        <v>303</v>
      </c>
      <c r="F172" s="208" t="s">
        <v>309</v>
      </c>
      <c r="G172" s="214"/>
      <c r="H172" s="11">
        <v>0</v>
      </c>
      <c r="I172" s="11">
        <v>0</v>
      </c>
      <c r="J172" s="110"/>
      <c r="K172" s="94"/>
      <c r="L172" s="94"/>
      <c r="M172"/>
      <c r="N172"/>
      <c r="O172"/>
      <c r="P172"/>
      <c r="Q172"/>
      <c r="R172"/>
      <c r="S172"/>
      <c r="T172"/>
      <c r="U172"/>
      <c r="V172"/>
      <c r="W172"/>
      <c r="X172"/>
      <c r="Y172"/>
      <c r="Z172"/>
      <c r="AA172"/>
      <c r="AB172"/>
      <c r="AC172"/>
      <c r="AD172"/>
      <c r="AE172"/>
      <c r="AF172"/>
      <c r="AG172"/>
      <c r="AH172"/>
      <c r="AI172"/>
      <c r="AJ172"/>
      <c r="AK172"/>
      <c r="AL172"/>
      <c r="AM172"/>
    </row>
    <row r="173" spans="1:39" s="51" customFormat="1" ht="30.75" customHeight="1" x14ac:dyDescent="0.2">
      <c r="A173" s="70"/>
      <c r="B173" s="71"/>
      <c r="C173" s="213" t="s">
        <v>476</v>
      </c>
      <c r="D173" s="9">
        <v>6538</v>
      </c>
      <c r="E173" s="213" t="s">
        <v>405</v>
      </c>
      <c r="F173" s="208" t="s">
        <v>401</v>
      </c>
      <c r="G173" s="214"/>
      <c r="H173" s="11">
        <v>0</v>
      </c>
      <c r="I173" s="11">
        <f>D173*0.9</f>
        <v>5884.2</v>
      </c>
      <c r="J173" s="110"/>
      <c r="K173" s="94"/>
      <c r="L173" s="94"/>
      <c r="M173"/>
      <c r="N173"/>
      <c r="O173"/>
      <c r="P173"/>
      <c r="Q173"/>
      <c r="R173"/>
      <c r="S173"/>
      <c r="T173"/>
      <c r="U173"/>
      <c r="V173"/>
      <c r="W173"/>
      <c r="X173"/>
      <c r="Y173"/>
      <c r="Z173"/>
      <c r="AA173"/>
      <c r="AB173"/>
      <c r="AC173"/>
      <c r="AD173"/>
      <c r="AE173"/>
      <c r="AF173"/>
      <c r="AG173"/>
      <c r="AH173"/>
      <c r="AI173"/>
      <c r="AJ173"/>
      <c r="AK173"/>
      <c r="AL173"/>
      <c r="AM173"/>
    </row>
    <row r="174" spans="1:39" s="51" customFormat="1" ht="30.75" customHeight="1" x14ac:dyDescent="0.2">
      <c r="A174" s="70"/>
      <c r="B174" s="71"/>
      <c r="C174" s="213" t="s">
        <v>477</v>
      </c>
      <c r="D174" s="216">
        <v>4195.5839999999998</v>
      </c>
      <c r="E174" s="213" t="s">
        <v>406</v>
      </c>
      <c r="F174" s="208" t="s">
        <v>309</v>
      </c>
      <c r="G174" s="214"/>
      <c r="H174" s="11">
        <v>0</v>
      </c>
      <c r="I174" s="11">
        <v>0</v>
      </c>
      <c r="J174" s="110"/>
      <c r="K174" s="94"/>
      <c r="L174" s="94"/>
      <c r="M174"/>
      <c r="N174"/>
      <c r="O174"/>
      <c r="P174"/>
      <c r="Q174"/>
      <c r="R174"/>
      <c r="S174"/>
      <c r="T174"/>
      <c r="U174"/>
      <c r="V174"/>
      <c r="W174"/>
      <c r="X174"/>
      <c r="Y174"/>
      <c r="Z174"/>
      <c r="AA174"/>
      <c r="AB174"/>
      <c r="AC174"/>
      <c r="AD174"/>
      <c r="AE174"/>
      <c r="AF174"/>
      <c r="AG174"/>
      <c r="AH174"/>
      <c r="AI174"/>
      <c r="AJ174"/>
      <c r="AK174"/>
      <c r="AL174"/>
      <c r="AM174"/>
    </row>
    <row r="175" spans="1:39" s="51" customFormat="1" ht="30.75" customHeight="1" x14ac:dyDescent="0.2">
      <c r="A175" s="70"/>
      <c r="B175" s="71"/>
      <c r="C175" s="213" t="s">
        <v>478</v>
      </c>
      <c r="D175" s="9">
        <v>231.14000000000001</v>
      </c>
      <c r="E175" s="213" t="s">
        <v>405</v>
      </c>
      <c r="F175" s="208" t="s">
        <v>401</v>
      </c>
      <c r="G175" s="214"/>
      <c r="H175" s="11">
        <v>0</v>
      </c>
      <c r="I175" s="11">
        <f>D175*0.9</f>
        <v>208.02600000000001</v>
      </c>
      <c r="J175" s="110"/>
      <c r="K175" s="94"/>
      <c r="L175" s="94"/>
      <c r="M175"/>
      <c r="N175"/>
      <c r="O175"/>
      <c r="P175"/>
      <c r="Q175"/>
      <c r="R175"/>
      <c r="S175"/>
      <c r="T175"/>
      <c r="U175"/>
      <c r="V175"/>
      <c r="W175"/>
      <c r="X175"/>
      <c r="Y175"/>
      <c r="Z175"/>
      <c r="AA175"/>
      <c r="AB175"/>
      <c r="AC175"/>
      <c r="AD175"/>
      <c r="AE175"/>
      <c r="AF175"/>
      <c r="AG175"/>
      <c r="AH175"/>
      <c r="AI175"/>
      <c r="AJ175"/>
      <c r="AK175"/>
      <c r="AL175"/>
      <c r="AM175"/>
    </row>
    <row r="176" spans="1:39" s="51" customFormat="1" ht="30.75" customHeight="1" x14ac:dyDescent="0.2">
      <c r="A176" s="70"/>
      <c r="B176" s="71"/>
      <c r="C176" s="213" t="s">
        <v>479</v>
      </c>
      <c r="D176" s="9">
        <f>108*50</f>
        <v>5400</v>
      </c>
      <c r="E176" s="213" t="s">
        <v>344</v>
      </c>
      <c r="F176" s="208" t="s">
        <v>401</v>
      </c>
      <c r="G176" s="214"/>
      <c r="H176" s="11">
        <v>0</v>
      </c>
      <c r="I176" s="11">
        <f>D176*0.9</f>
        <v>4860</v>
      </c>
      <c r="J176" s="110"/>
      <c r="K176" s="94"/>
      <c r="L176" s="94"/>
      <c r="M176"/>
      <c r="N176"/>
      <c r="O176"/>
      <c r="P176"/>
      <c r="Q176"/>
      <c r="R176"/>
      <c r="S176"/>
      <c r="T176"/>
      <c r="U176"/>
      <c r="V176"/>
      <c r="W176"/>
      <c r="X176"/>
      <c r="Y176"/>
      <c r="Z176"/>
      <c r="AA176"/>
      <c r="AB176"/>
      <c r="AC176"/>
      <c r="AD176"/>
      <c r="AE176"/>
      <c r="AF176"/>
      <c r="AG176"/>
      <c r="AH176"/>
      <c r="AI176"/>
      <c r="AJ176"/>
      <c r="AK176"/>
      <c r="AL176"/>
      <c r="AM176"/>
    </row>
    <row r="177" spans="1:39" s="51" customFormat="1" ht="30.75" customHeight="1" x14ac:dyDescent="0.2">
      <c r="A177" s="70"/>
      <c r="B177" s="71"/>
      <c r="C177" s="213" t="s">
        <v>480</v>
      </c>
      <c r="D177" s="9">
        <v>25927.5</v>
      </c>
      <c r="E177" s="213" t="s">
        <v>437</v>
      </c>
      <c r="F177" s="208" t="s">
        <v>304</v>
      </c>
      <c r="G177" s="214"/>
      <c r="H177" s="11">
        <v>0</v>
      </c>
      <c r="I177" s="11">
        <f>D177</f>
        <v>25927.5</v>
      </c>
      <c r="J177" s="110"/>
      <c r="K177" s="94"/>
      <c r="L177" s="94"/>
      <c r="M177"/>
      <c r="N177"/>
      <c r="O177"/>
      <c r="P177"/>
      <c r="Q177"/>
      <c r="R177"/>
      <c r="S177"/>
      <c r="T177"/>
      <c r="U177"/>
      <c r="V177"/>
      <c r="W177"/>
      <c r="X177"/>
      <c r="Y177"/>
      <c r="Z177"/>
      <c r="AA177"/>
      <c r="AB177"/>
      <c r="AC177"/>
      <c r="AD177"/>
      <c r="AE177"/>
      <c r="AF177"/>
      <c r="AG177"/>
      <c r="AH177"/>
      <c r="AI177"/>
      <c r="AJ177"/>
      <c r="AK177"/>
      <c r="AL177"/>
      <c r="AM177"/>
    </row>
    <row r="178" spans="1:39" s="51" customFormat="1" ht="30.75" customHeight="1" x14ac:dyDescent="0.2">
      <c r="A178" s="70"/>
      <c r="B178" s="71"/>
      <c r="C178" s="213" t="s">
        <v>482</v>
      </c>
      <c r="D178" s="9">
        <f>14*41</f>
        <v>574</v>
      </c>
      <c r="E178" s="213" t="s">
        <v>344</v>
      </c>
      <c r="F178" s="208" t="s">
        <v>401</v>
      </c>
      <c r="G178" s="214"/>
      <c r="H178" s="11">
        <v>0</v>
      </c>
      <c r="I178" s="11">
        <f>D178*0.9</f>
        <v>516.6</v>
      </c>
      <c r="J178" s="110"/>
      <c r="K178" s="94"/>
      <c r="L178" s="94"/>
      <c r="M178"/>
      <c r="N178"/>
      <c r="O178"/>
      <c r="P178"/>
      <c r="Q178"/>
      <c r="R178"/>
      <c r="S178"/>
      <c r="T178"/>
      <c r="U178"/>
      <c r="V178"/>
      <c r="W178"/>
      <c r="X178"/>
      <c r="Y178"/>
      <c r="Z178"/>
      <c r="AA178"/>
      <c r="AB178"/>
      <c r="AC178"/>
      <c r="AD178"/>
      <c r="AE178"/>
      <c r="AF178"/>
      <c r="AG178"/>
      <c r="AH178"/>
      <c r="AI178"/>
      <c r="AJ178"/>
      <c r="AK178"/>
      <c r="AL178"/>
      <c r="AM178"/>
    </row>
    <row r="179" spans="1:39" s="51" customFormat="1" ht="30.75" customHeight="1" x14ac:dyDescent="0.2">
      <c r="A179" s="70"/>
      <c r="B179" s="71"/>
      <c r="C179" s="213" t="s">
        <v>483</v>
      </c>
      <c r="D179" s="9">
        <f>1.32*400</f>
        <v>528</v>
      </c>
      <c r="E179" s="213" t="s">
        <v>303</v>
      </c>
      <c r="F179" s="208" t="s">
        <v>401</v>
      </c>
      <c r="G179" s="214"/>
      <c r="H179" s="11">
        <v>0</v>
      </c>
      <c r="I179" s="11">
        <f>D179*0.9</f>
        <v>475.2</v>
      </c>
      <c r="J179" s="110"/>
      <c r="K179" s="94"/>
      <c r="L179" s="94"/>
      <c r="M179"/>
      <c r="N179"/>
      <c r="O179"/>
      <c r="P179"/>
      <c r="Q179"/>
      <c r="R179"/>
      <c r="S179"/>
      <c r="T179"/>
      <c r="U179"/>
      <c r="V179"/>
      <c r="W179"/>
      <c r="X179"/>
      <c r="Y179"/>
      <c r="Z179"/>
      <c r="AA179"/>
      <c r="AB179"/>
      <c r="AC179"/>
      <c r="AD179"/>
      <c r="AE179"/>
      <c r="AF179"/>
      <c r="AG179"/>
      <c r="AH179"/>
      <c r="AI179"/>
      <c r="AJ179"/>
      <c r="AK179"/>
      <c r="AL179"/>
      <c r="AM179"/>
    </row>
    <row r="180" spans="1:39" s="51" customFormat="1" ht="30.75" customHeight="1" x14ac:dyDescent="0.2">
      <c r="A180" s="70"/>
      <c r="B180" s="71"/>
      <c r="C180" s="213" t="s">
        <v>484</v>
      </c>
      <c r="D180" s="9">
        <f>1.01*400</f>
        <v>404</v>
      </c>
      <c r="E180" s="213" t="s">
        <v>303</v>
      </c>
      <c r="F180" s="208" t="s">
        <v>309</v>
      </c>
      <c r="G180" s="214"/>
      <c r="H180" s="11">
        <v>0</v>
      </c>
      <c r="I180" s="11">
        <v>0</v>
      </c>
      <c r="J180" s="110"/>
      <c r="K180" s="94"/>
      <c r="L180" s="94"/>
      <c r="M180"/>
      <c r="N180"/>
      <c r="O180"/>
      <c r="P180"/>
      <c r="Q180"/>
      <c r="R180"/>
      <c r="S180"/>
      <c r="T180"/>
      <c r="U180"/>
      <c r="V180"/>
      <c r="W180"/>
      <c r="X180"/>
      <c r="Y180"/>
      <c r="Z180"/>
      <c r="AA180"/>
      <c r="AB180"/>
      <c r="AC180"/>
      <c r="AD180"/>
      <c r="AE180"/>
      <c r="AF180"/>
      <c r="AG180"/>
      <c r="AH180"/>
      <c r="AI180"/>
      <c r="AJ180"/>
      <c r="AK180"/>
      <c r="AL180"/>
      <c r="AM180"/>
    </row>
    <row r="181" spans="1:39" s="51" customFormat="1" ht="30.75" customHeight="1" x14ac:dyDescent="0.2">
      <c r="A181" s="70"/>
      <c r="B181" s="71"/>
      <c r="C181" s="213" t="s">
        <v>485</v>
      </c>
      <c r="D181" s="9">
        <f>520</f>
        <v>520</v>
      </c>
      <c r="E181" s="213" t="s">
        <v>303</v>
      </c>
      <c r="F181" s="208" t="s">
        <v>401</v>
      </c>
      <c r="G181" s="214"/>
      <c r="H181" s="11">
        <v>0</v>
      </c>
      <c r="I181" s="11">
        <f>D181*0.9</f>
        <v>468</v>
      </c>
      <c r="J181" s="110"/>
      <c r="K181" s="94"/>
      <c r="L181" s="94"/>
      <c r="M181"/>
      <c r="N181"/>
      <c r="O181"/>
      <c r="P181"/>
      <c r="Q181"/>
      <c r="R181"/>
      <c r="S181"/>
      <c r="T181"/>
      <c r="U181"/>
      <c r="V181"/>
      <c r="W181"/>
      <c r="X181"/>
      <c r="Y181"/>
      <c r="Z181"/>
      <c r="AA181"/>
      <c r="AB181"/>
      <c r="AC181"/>
      <c r="AD181"/>
      <c r="AE181"/>
      <c r="AF181"/>
      <c r="AG181"/>
      <c r="AH181"/>
      <c r="AI181"/>
      <c r="AJ181"/>
      <c r="AK181"/>
      <c r="AL181"/>
      <c r="AM181"/>
    </row>
    <row r="182" spans="1:39" s="51" customFormat="1" ht="30.75" customHeight="1" x14ac:dyDescent="0.2">
      <c r="A182" s="70"/>
      <c r="B182" s="71"/>
      <c r="C182" s="213" t="s">
        <v>486</v>
      </c>
      <c r="D182" s="9">
        <f>25*76</f>
        <v>1900</v>
      </c>
      <c r="E182" s="213" t="s">
        <v>402</v>
      </c>
      <c r="F182" s="208" t="s">
        <v>401</v>
      </c>
      <c r="G182" s="214"/>
      <c r="H182" s="11">
        <v>0</v>
      </c>
      <c r="I182" s="11">
        <f>D182*0.9</f>
        <v>1710</v>
      </c>
      <c r="J182" s="110"/>
      <c r="K182" s="94"/>
      <c r="L182" s="94"/>
      <c r="M182"/>
      <c r="N182"/>
      <c r="O182"/>
      <c r="P182"/>
      <c r="Q182"/>
      <c r="R182"/>
      <c r="S182"/>
      <c r="T182"/>
      <c r="U182"/>
      <c r="V182"/>
      <c r="W182"/>
      <c r="X182"/>
      <c r="Y182"/>
      <c r="Z182"/>
      <c r="AA182"/>
      <c r="AB182"/>
      <c r="AC182"/>
      <c r="AD182"/>
      <c r="AE182"/>
      <c r="AF182"/>
      <c r="AG182"/>
      <c r="AH182"/>
      <c r="AI182"/>
      <c r="AJ182"/>
      <c r="AK182"/>
      <c r="AL182"/>
      <c r="AM182"/>
    </row>
    <row r="183" spans="1:39" s="51" customFormat="1" ht="30.75" customHeight="1" x14ac:dyDescent="0.2">
      <c r="A183" s="70"/>
      <c r="B183" s="71"/>
      <c r="C183" s="213" t="s">
        <v>487</v>
      </c>
      <c r="D183" s="9">
        <f>1958</f>
        <v>1958</v>
      </c>
      <c r="E183" s="213" t="s">
        <v>303</v>
      </c>
      <c r="F183" s="208" t="s">
        <v>304</v>
      </c>
      <c r="G183" s="214"/>
      <c r="H183" s="11">
        <v>0</v>
      </c>
      <c r="I183" s="11">
        <f>D183</f>
        <v>1958</v>
      </c>
      <c r="J183" s="110"/>
      <c r="K183" s="94"/>
      <c r="L183" s="94"/>
      <c r="M183"/>
      <c r="N183"/>
      <c r="O183"/>
      <c r="P183"/>
      <c r="Q183"/>
      <c r="R183"/>
      <c r="S183"/>
      <c r="T183"/>
      <c r="U183"/>
      <c r="V183"/>
      <c r="W183"/>
      <c r="X183"/>
      <c r="Y183"/>
      <c r="Z183"/>
      <c r="AA183"/>
      <c r="AB183"/>
      <c r="AC183"/>
      <c r="AD183"/>
      <c r="AE183"/>
      <c r="AF183"/>
      <c r="AG183"/>
      <c r="AH183"/>
      <c r="AI183"/>
      <c r="AJ183"/>
      <c r="AK183"/>
      <c r="AL183"/>
      <c r="AM183"/>
    </row>
    <row r="184" spans="1:39" s="51" customFormat="1" ht="30.75" customHeight="1" x14ac:dyDescent="0.2">
      <c r="A184" s="70"/>
      <c r="B184" s="71"/>
      <c r="C184" s="213" t="s">
        <v>488</v>
      </c>
      <c r="D184" s="9">
        <f>1878*5.82</f>
        <v>10929.960000000001</v>
      </c>
      <c r="E184" s="213" t="s">
        <v>303</v>
      </c>
      <c r="F184" s="208" t="s">
        <v>304</v>
      </c>
      <c r="G184" s="214"/>
      <c r="H184" s="11">
        <v>0</v>
      </c>
      <c r="I184" s="11">
        <f>D184</f>
        <v>10929.960000000001</v>
      </c>
      <c r="J184" s="110"/>
      <c r="K184" s="94"/>
      <c r="L184" s="94"/>
      <c r="M184"/>
      <c r="N184"/>
      <c r="O184"/>
      <c r="P184"/>
      <c r="Q184"/>
      <c r="R184"/>
      <c r="S184"/>
      <c r="T184"/>
      <c r="U184"/>
      <c r="V184"/>
      <c r="W184"/>
      <c r="X184"/>
      <c r="Y184"/>
      <c r="Z184"/>
      <c r="AA184"/>
      <c r="AB184"/>
      <c r="AC184"/>
      <c r="AD184"/>
      <c r="AE184"/>
      <c r="AF184"/>
      <c r="AG184"/>
      <c r="AH184"/>
      <c r="AI184"/>
      <c r="AJ184"/>
      <c r="AK184"/>
      <c r="AL184"/>
      <c r="AM184"/>
    </row>
    <row r="185" spans="1:39" s="51" customFormat="1" ht="30.75" customHeight="1" x14ac:dyDescent="0.2">
      <c r="A185" s="70"/>
      <c r="B185" s="71"/>
      <c r="C185" s="213"/>
      <c r="D185" s="9"/>
      <c r="E185" s="213"/>
      <c r="F185" s="208"/>
      <c r="G185" s="214"/>
      <c r="H185" s="11"/>
      <c r="I185" s="11"/>
      <c r="J185" s="110"/>
      <c r="K185" s="94"/>
      <c r="L185" s="94"/>
      <c r="M185"/>
      <c r="N185"/>
      <c r="O185"/>
      <c r="P185"/>
      <c r="Q185"/>
      <c r="R185"/>
      <c r="S185"/>
      <c r="T185"/>
      <c r="U185"/>
      <c r="V185"/>
      <c r="W185"/>
      <c r="X185"/>
      <c r="Y185"/>
      <c r="Z185"/>
      <c r="AA185"/>
      <c r="AB185"/>
      <c r="AC185"/>
      <c r="AD185"/>
      <c r="AE185"/>
      <c r="AF185"/>
      <c r="AG185"/>
      <c r="AH185"/>
      <c r="AI185"/>
      <c r="AJ185"/>
      <c r="AK185"/>
      <c r="AL185"/>
      <c r="AM185"/>
    </row>
    <row r="186" spans="1:39" s="51" customFormat="1" ht="30.75" customHeight="1" x14ac:dyDescent="0.2">
      <c r="A186" s="70"/>
      <c r="B186" s="71"/>
      <c r="C186" s="213"/>
      <c r="D186" s="9"/>
      <c r="E186" s="9"/>
      <c r="F186" s="208"/>
      <c r="G186" s="214"/>
      <c r="H186" s="11"/>
      <c r="I186" s="11"/>
      <c r="J186" s="110"/>
      <c r="K186" s="94"/>
      <c r="L186" s="94"/>
      <c r="M186"/>
      <c r="N186"/>
      <c r="O186"/>
      <c r="P186"/>
      <c r="Q186"/>
      <c r="R186"/>
      <c r="S186"/>
      <c r="T186"/>
      <c r="U186"/>
      <c r="V186"/>
      <c r="W186"/>
      <c r="X186"/>
      <c r="Y186"/>
      <c r="Z186"/>
      <c r="AA186"/>
      <c r="AB186"/>
      <c r="AC186"/>
      <c r="AD186"/>
      <c r="AE186"/>
      <c r="AF186"/>
      <c r="AG186"/>
      <c r="AH186"/>
      <c r="AI186"/>
      <c r="AJ186"/>
      <c r="AK186"/>
      <c r="AL186"/>
      <c r="AM186"/>
    </row>
    <row r="187" spans="1:39" s="51" customFormat="1" ht="30" customHeight="1" x14ac:dyDescent="0.2">
      <c r="A187" s="70">
        <v>6</v>
      </c>
      <c r="B187" s="71" t="s">
        <v>173</v>
      </c>
      <c r="C187" s="9"/>
      <c r="D187" s="9"/>
      <c r="E187" s="9"/>
      <c r="F187" s="267"/>
      <c r="G187" s="267"/>
      <c r="H187" s="11"/>
      <c r="I187" s="11"/>
      <c r="J187" s="261"/>
      <c r="K187" s="262"/>
      <c r="L187" s="262"/>
      <c r="M187"/>
      <c r="N187"/>
      <c r="O187"/>
      <c r="P187"/>
      <c r="Q187"/>
      <c r="R187"/>
      <c r="S187"/>
      <c r="T187"/>
      <c r="U187"/>
      <c r="V187"/>
      <c r="W187"/>
      <c r="X187"/>
      <c r="Y187"/>
      <c r="Z187"/>
      <c r="AA187"/>
      <c r="AB187"/>
      <c r="AC187"/>
      <c r="AD187"/>
      <c r="AE187"/>
      <c r="AF187"/>
      <c r="AG187"/>
      <c r="AH187"/>
      <c r="AI187"/>
      <c r="AJ187"/>
      <c r="AK187"/>
      <c r="AL187"/>
      <c r="AM187"/>
    </row>
    <row r="188" spans="1:39" s="51" customFormat="1" ht="30" customHeight="1" x14ac:dyDescent="0.2">
      <c r="A188" s="70">
        <v>7</v>
      </c>
      <c r="B188" s="71" t="s">
        <v>174</v>
      </c>
      <c r="C188" s="9"/>
      <c r="D188" s="9"/>
      <c r="E188" s="9"/>
      <c r="F188" s="265"/>
      <c r="G188" s="266"/>
      <c r="H188" s="11"/>
      <c r="I188" s="11"/>
      <c r="J188" s="261"/>
      <c r="K188" s="262"/>
      <c r="L188" s="262"/>
      <c r="M188"/>
      <c r="N188"/>
      <c r="O188"/>
      <c r="P188"/>
      <c r="Q188"/>
      <c r="R188"/>
      <c r="S188"/>
      <c r="T188"/>
      <c r="U188"/>
      <c r="V188"/>
      <c r="W188"/>
      <c r="X188"/>
      <c r="Y188"/>
      <c r="Z188"/>
      <c r="AA188"/>
      <c r="AB188"/>
      <c r="AC188"/>
      <c r="AD188"/>
      <c r="AE188"/>
      <c r="AF188"/>
      <c r="AG188"/>
      <c r="AH188"/>
      <c r="AI188"/>
      <c r="AJ188"/>
      <c r="AK188"/>
      <c r="AL188"/>
      <c r="AM188"/>
    </row>
    <row r="189" spans="1:39" s="51" customFormat="1" ht="30" customHeight="1" x14ac:dyDescent="0.2">
      <c r="A189" s="70">
        <v>8</v>
      </c>
      <c r="B189" s="71" t="s">
        <v>175</v>
      </c>
      <c r="C189" s="213" t="s">
        <v>407</v>
      </c>
      <c r="D189" s="9">
        <v>6025</v>
      </c>
      <c r="E189" s="9" t="s">
        <v>344</v>
      </c>
      <c r="F189" s="208" t="s">
        <v>398</v>
      </c>
      <c r="G189" s="109"/>
      <c r="H189" s="11">
        <v>0</v>
      </c>
      <c r="I189" s="11">
        <f>D189</f>
        <v>6025</v>
      </c>
      <c r="J189" s="261"/>
      <c r="K189" s="262"/>
      <c r="L189" s="262"/>
      <c r="M189"/>
      <c r="N189"/>
      <c r="O189"/>
      <c r="P189"/>
      <c r="Q189"/>
      <c r="R189"/>
      <c r="S189"/>
      <c r="T189"/>
      <c r="U189"/>
      <c r="V189"/>
      <c r="W189"/>
      <c r="X189"/>
      <c r="Y189"/>
      <c r="Z189"/>
      <c r="AA189"/>
      <c r="AB189"/>
      <c r="AC189"/>
      <c r="AD189"/>
      <c r="AE189"/>
      <c r="AF189"/>
      <c r="AG189"/>
      <c r="AH189"/>
      <c r="AI189"/>
      <c r="AJ189"/>
      <c r="AK189"/>
      <c r="AL189"/>
      <c r="AM189"/>
    </row>
    <row r="190" spans="1:39" s="51" customFormat="1" ht="30" customHeight="1" x14ac:dyDescent="0.2">
      <c r="A190" s="70"/>
      <c r="B190" s="71"/>
      <c r="C190" s="213" t="s">
        <v>408</v>
      </c>
      <c r="D190" s="9">
        <v>31231.3</v>
      </c>
      <c r="E190" s="9" t="s">
        <v>303</v>
      </c>
      <c r="F190" s="208" t="s">
        <v>409</v>
      </c>
      <c r="G190" s="109"/>
      <c r="H190" s="11">
        <f>D190</f>
        <v>31231.3</v>
      </c>
      <c r="I190" s="11">
        <v>0</v>
      </c>
      <c r="J190" s="110"/>
      <c r="K190" s="94"/>
      <c r="L190" s="94"/>
      <c r="M190"/>
      <c r="N190"/>
      <c r="O190"/>
      <c r="P190"/>
      <c r="Q190"/>
      <c r="R190"/>
      <c r="S190"/>
      <c r="T190"/>
      <c r="U190"/>
      <c r="V190"/>
      <c r="W190"/>
      <c r="X190"/>
      <c r="Y190"/>
      <c r="Z190"/>
      <c r="AA190"/>
      <c r="AB190"/>
      <c r="AC190"/>
      <c r="AD190"/>
      <c r="AE190"/>
      <c r="AF190"/>
      <c r="AG190"/>
      <c r="AH190"/>
      <c r="AI190"/>
      <c r="AJ190"/>
      <c r="AK190"/>
      <c r="AL190"/>
      <c r="AM190"/>
    </row>
    <row r="191" spans="1:39" s="51" customFormat="1" ht="30" customHeight="1" x14ac:dyDescent="0.2">
      <c r="A191" s="70"/>
      <c r="B191" s="71"/>
      <c r="C191" s="213" t="s">
        <v>410</v>
      </c>
      <c r="D191" s="9">
        <v>26</v>
      </c>
      <c r="E191" s="9" t="s">
        <v>303</v>
      </c>
      <c r="F191" s="208" t="s">
        <v>398</v>
      </c>
      <c r="G191" s="109"/>
      <c r="H191" s="11">
        <v>0</v>
      </c>
      <c r="I191" s="11">
        <f>D191</f>
        <v>26</v>
      </c>
      <c r="J191" s="110"/>
      <c r="K191" s="94"/>
      <c r="L191" s="94"/>
      <c r="M191"/>
      <c r="N191"/>
      <c r="O191"/>
      <c r="P191"/>
      <c r="Q191"/>
      <c r="R191"/>
      <c r="S191"/>
      <c r="T191"/>
      <c r="U191"/>
      <c r="V191"/>
      <c r="W191"/>
      <c r="X191"/>
      <c r="Y191"/>
      <c r="Z191"/>
      <c r="AA191"/>
      <c r="AB191"/>
      <c r="AC191"/>
      <c r="AD191"/>
      <c r="AE191"/>
      <c r="AF191"/>
      <c r="AG191"/>
      <c r="AH191"/>
      <c r="AI191"/>
      <c r="AJ191"/>
      <c r="AK191"/>
      <c r="AL191"/>
      <c r="AM191"/>
    </row>
    <row r="192" spans="1:39" s="51" customFormat="1" ht="30" customHeight="1" x14ac:dyDescent="0.2">
      <c r="A192" s="70"/>
      <c r="B192" s="71"/>
      <c r="C192" s="213" t="s">
        <v>411</v>
      </c>
      <c r="D192" s="9">
        <v>62370</v>
      </c>
      <c r="E192" s="9" t="s">
        <v>303</v>
      </c>
      <c r="F192" s="208" t="s">
        <v>398</v>
      </c>
      <c r="G192" s="109"/>
      <c r="H192" s="11">
        <v>0</v>
      </c>
      <c r="I192" s="11">
        <f>D192</f>
        <v>62370</v>
      </c>
      <c r="J192" s="110"/>
      <c r="K192" s="94"/>
      <c r="L192" s="94"/>
      <c r="M192"/>
      <c r="N192"/>
      <c r="O192"/>
      <c r="P192"/>
      <c r="Q192"/>
      <c r="R192"/>
      <c r="S192"/>
      <c r="T192"/>
      <c r="U192"/>
      <c r="V192"/>
      <c r="W192"/>
      <c r="X192"/>
      <c r="Y192"/>
      <c r="Z192"/>
      <c r="AA192"/>
      <c r="AB192"/>
      <c r="AC192"/>
      <c r="AD192"/>
      <c r="AE192"/>
      <c r="AF192"/>
      <c r="AG192"/>
      <c r="AH192"/>
      <c r="AI192"/>
      <c r="AJ192"/>
      <c r="AK192"/>
      <c r="AL192"/>
      <c r="AM192"/>
    </row>
    <row r="193" spans="1:47" s="51" customFormat="1" ht="30" customHeight="1" x14ac:dyDescent="0.2">
      <c r="A193" s="70"/>
      <c r="B193" s="71"/>
      <c r="C193" s="213" t="s">
        <v>414</v>
      </c>
      <c r="D193" s="9">
        <v>10651.5</v>
      </c>
      <c r="E193" s="9" t="s">
        <v>303</v>
      </c>
      <c r="F193" s="208" t="s">
        <v>413</v>
      </c>
      <c r="G193" s="215"/>
      <c r="H193" s="11">
        <v>0</v>
      </c>
      <c r="I193" s="11">
        <f>D193</f>
        <v>10651.5</v>
      </c>
      <c r="J193" s="110"/>
      <c r="K193" s="94"/>
      <c r="L193" s="94"/>
      <c r="M193"/>
      <c r="N193"/>
      <c r="O193"/>
      <c r="P193"/>
      <c r="Q193"/>
      <c r="R193"/>
      <c r="S193"/>
      <c r="T193"/>
      <c r="U193"/>
      <c r="V193"/>
      <c r="W193"/>
      <c r="X193"/>
      <c r="Y193"/>
      <c r="Z193"/>
      <c r="AA193"/>
      <c r="AB193"/>
      <c r="AC193"/>
      <c r="AD193"/>
      <c r="AE193"/>
      <c r="AF193"/>
      <c r="AG193"/>
      <c r="AH193"/>
      <c r="AI193"/>
      <c r="AJ193"/>
      <c r="AK193"/>
      <c r="AL193"/>
      <c r="AM193"/>
    </row>
    <row r="194" spans="1:47" s="51" customFormat="1" ht="30" customHeight="1" x14ac:dyDescent="0.2">
      <c r="A194" s="70"/>
      <c r="B194" s="71"/>
      <c r="C194" s="213" t="s">
        <v>412</v>
      </c>
      <c r="D194" s="9">
        <v>5700</v>
      </c>
      <c r="E194" s="9" t="s">
        <v>303</v>
      </c>
      <c r="F194" s="267" t="s">
        <v>413</v>
      </c>
      <c r="G194" s="267" t="s">
        <v>398</v>
      </c>
      <c r="H194" s="11">
        <v>0</v>
      </c>
      <c r="I194" s="11">
        <f>D194</f>
        <v>5700</v>
      </c>
      <c r="J194" s="261"/>
      <c r="K194" s="262"/>
      <c r="L194" s="262"/>
      <c r="M194"/>
      <c r="N194"/>
      <c r="O194"/>
      <c r="P194"/>
      <c r="Q194"/>
      <c r="R194"/>
      <c r="S194"/>
      <c r="T194"/>
      <c r="U194"/>
      <c r="V194"/>
      <c r="W194"/>
      <c r="X194"/>
      <c r="Y194"/>
      <c r="Z194"/>
      <c r="AA194"/>
      <c r="AB194"/>
      <c r="AC194"/>
      <c r="AD194"/>
      <c r="AE194"/>
      <c r="AF194"/>
      <c r="AG194"/>
      <c r="AH194"/>
      <c r="AI194"/>
      <c r="AJ194"/>
      <c r="AK194"/>
      <c r="AL194"/>
      <c r="AM194"/>
    </row>
    <row r="195" spans="1:47" s="51" customFormat="1" ht="30" customHeight="1" x14ac:dyDescent="0.2">
      <c r="A195" s="358" t="s">
        <v>176</v>
      </c>
      <c r="B195" s="359"/>
      <c r="C195" s="63" t="s">
        <v>177</v>
      </c>
      <c r="D195" s="63" t="s">
        <v>233</v>
      </c>
      <c r="E195" s="127" t="s">
        <v>234</v>
      </c>
      <c r="F195" s="176" t="s">
        <v>180</v>
      </c>
      <c r="G195" s="176" t="s">
        <v>181</v>
      </c>
      <c r="H195" s="417"/>
      <c r="I195" s="381"/>
      <c r="J195" s="261"/>
      <c r="K195" s="262"/>
      <c r="L195" s="262"/>
      <c r="M195"/>
      <c r="N195"/>
      <c r="O195"/>
      <c r="P195"/>
      <c r="Q195"/>
      <c r="R195"/>
      <c r="S195"/>
      <c r="T195"/>
      <c r="U195"/>
      <c r="V195"/>
      <c r="W195"/>
      <c r="X195"/>
      <c r="Y195"/>
      <c r="Z195"/>
      <c r="AA195"/>
      <c r="AB195"/>
      <c r="AC195"/>
      <c r="AD195"/>
      <c r="AE195"/>
      <c r="AF195"/>
      <c r="AG195"/>
      <c r="AH195"/>
      <c r="AI195"/>
      <c r="AJ195"/>
      <c r="AK195"/>
      <c r="AL195"/>
      <c r="AM195"/>
    </row>
    <row r="196" spans="1:47" s="51" customFormat="1" ht="30" customHeight="1" x14ac:dyDescent="0.2">
      <c r="A196" s="70" t="s">
        <v>182</v>
      </c>
      <c r="B196" s="71" t="s">
        <v>183</v>
      </c>
      <c r="C196" s="9" t="s">
        <v>424</v>
      </c>
      <c r="D196" s="9">
        <f>2*213</f>
        <v>426</v>
      </c>
      <c r="E196" s="9">
        <v>1</v>
      </c>
      <c r="F196" s="156">
        <v>677</v>
      </c>
      <c r="G196" s="156">
        <v>100</v>
      </c>
      <c r="H196" s="380"/>
      <c r="I196" s="381"/>
      <c r="J196" s="263" t="s">
        <v>184</v>
      </c>
      <c r="K196" s="264"/>
      <c r="L196" s="264"/>
      <c r="M196"/>
      <c r="N196"/>
      <c r="O196"/>
      <c r="P196"/>
      <c r="Q196"/>
      <c r="R196"/>
      <c r="S196"/>
      <c r="T196"/>
      <c r="U196"/>
      <c r="V196"/>
      <c r="W196"/>
      <c r="X196"/>
      <c r="Y196"/>
      <c r="Z196"/>
      <c r="AA196"/>
      <c r="AB196"/>
      <c r="AC196"/>
      <c r="AD196"/>
      <c r="AE196"/>
      <c r="AF196"/>
      <c r="AG196"/>
      <c r="AH196"/>
      <c r="AI196"/>
      <c r="AJ196"/>
      <c r="AK196"/>
      <c r="AL196"/>
      <c r="AM196"/>
    </row>
    <row r="197" spans="1:47" s="51" customFormat="1" ht="30" customHeight="1" x14ac:dyDescent="0.2">
      <c r="A197" s="70" t="s">
        <v>185</v>
      </c>
      <c r="B197" s="71" t="s">
        <v>186</v>
      </c>
      <c r="C197" s="9" t="s">
        <v>421</v>
      </c>
      <c r="D197" s="9">
        <v>6</v>
      </c>
      <c r="E197" s="9">
        <v>1</v>
      </c>
      <c r="F197" s="156">
        <v>1300</v>
      </c>
      <c r="G197" s="156">
        <v>100</v>
      </c>
      <c r="H197" s="157"/>
      <c r="I197" s="132"/>
      <c r="J197" s="261"/>
      <c r="K197" s="262"/>
      <c r="L197" s="262"/>
      <c r="M197"/>
      <c r="N197"/>
      <c r="O197"/>
      <c r="P197"/>
      <c r="Q197"/>
      <c r="R197"/>
      <c r="S197"/>
      <c r="T197"/>
      <c r="U197"/>
      <c r="V197"/>
      <c r="W197"/>
      <c r="X197"/>
      <c r="Y197"/>
      <c r="Z197"/>
      <c r="AA197"/>
      <c r="AB197"/>
      <c r="AC197"/>
      <c r="AD197"/>
      <c r="AE197"/>
      <c r="AF197"/>
      <c r="AG197"/>
      <c r="AH197"/>
      <c r="AI197"/>
      <c r="AJ197"/>
      <c r="AK197"/>
      <c r="AL197"/>
      <c r="AM197"/>
    </row>
    <row r="198" spans="1:47" s="51" customFormat="1" ht="30" customHeight="1" thickBot="1" x14ac:dyDescent="0.25">
      <c r="A198" s="70" t="s">
        <v>187</v>
      </c>
      <c r="B198" s="71" t="s">
        <v>188</v>
      </c>
      <c r="C198" s="9" t="s">
        <v>425</v>
      </c>
      <c r="D198" s="9">
        <v>42.5</v>
      </c>
      <c r="E198" s="9">
        <v>1</v>
      </c>
      <c r="F198" s="156">
        <v>677</v>
      </c>
      <c r="G198" s="156">
        <v>100</v>
      </c>
      <c r="H198" s="380"/>
      <c r="I198" s="381"/>
      <c r="J198" s="261"/>
      <c r="K198" s="262"/>
      <c r="L198" s="262"/>
      <c r="M198"/>
      <c r="N198"/>
      <c r="O198"/>
      <c r="P198"/>
      <c r="Q198"/>
      <c r="R198"/>
      <c r="S198"/>
      <c r="T198"/>
      <c r="U198"/>
      <c r="V198"/>
      <c r="W198"/>
      <c r="X198"/>
      <c r="Y198"/>
      <c r="Z198"/>
      <c r="AA198"/>
      <c r="AB198"/>
      <c r="AC198"/>
      <c r="AD198"/>
      <c r="AE198"/>
      <c r="AF198"/>
      <c r="AG198"/>
      <c r="AH198"/>
      <c r="AI198"/>
      <c r="AJ198"/>
      <c r="AK198"/>
      <c r="AL198"/>
      <c r="AM198"/>
    </row>
    <row r="199" spans="1:47" s="75" customFormat="1" ht="33" customHeight="1" thickBot="1" x14ac:dyDescent="0.25">
      <c r="A199" s="51"/>
      <c r="B199" s="51"/>
      <c r="C199" s="73" t="s">
        <v>189</v>
      </c>
      <c r="D199" s="118">
        <f>SUM(D52:D194)+SUM(D196:D198)</f>
        <v>16033604.346049996</v>
      </c>
      <c r="E199" s="462"/>
      <c r="F199" s="463"/>
      <c r="G199" s="463"/>
      <c r="H199" s="120">
        <f>SUM(H52:H194)</f>
        <v>10817987.220000003</v>
      </c>
      <c r="I199" s="120">
        <f>SUM(I52:I194)</f>
        <v>4936109.9734700006</v>
      </c>
      <c r="J199"/>
      <c r="K199"/>
      <c r="L199"/>
      <c r="M199"/>
      <c r="N199"/>
      <c r="O199"/>
      <c r="P199"/>
      <c r="Q199"/>
      <c r="R199"/>
      <c r="S199"/>
      <c r="T199"/>
      <c r="U199"/>
      <c r="V199"/>
      <c r="W199"/>
      <c r="X199"/>
      <c r="Y199"/>
      <c r="Z199"/>
      <c r="AA199"/>
      <c r="AB199"/>
      <c r="AC199"/>
      <c r="AD199"/>
      <c r="AE199"/>
      <c r="AF199"/>
      <c r="AG199"/>
      <c r="AH199"/>
      <c r="AI199"/>
      <c r="AJ199"/>
      <c r="AK199"/>
    </row>
    <row r="200" spans="1:47" s="75" customFormat="1" ht="33" customHeight="1" thickBot="1" x14ac:dyDescent="0.25">
      <c r="A200" s="54"/>
      <c r="B200" s="54"/>
      <c r="C200" s="74" t="s">
        <v>190</v>
      </c>
      <c r="D200" s="119">
        <f>D199/$C$6</f>
        <v>1352.8184564672626</v>
      </c>
      <c r="E200" s="464"/>
      <c r="F200" s="464"/>
      <c r="G200" s="464"/>
      <c r="H200" s="121">
        <f t="shared" ref="H200:I200" si="4">H199/$C$6</f>
        <v>912.75626223422228</v>
      </c>
      <c r="I200" s="121">
        <f t="shared" si="4"/>
        <v>416.47907302311853</v>
      </c>
      <c r="J200"/>
      <c r="K200"/>
      <c r="L200"/>
      <c r="M200"/>
      <c r="N200"/>
      <c r="O200"/>
      <c r="P200"/>
      <c r="Q200"/>
      <c r="R200"/>
      <c r="S200"/>
      <c r="T200"/>
      <c r="U200"/>
      <c r="V200"/>
      <c r="W200"/>
      <c r="X200"/>
      <c r="Y200"/>
      <c r="Z200"/>
      <c r="AA200"/>
      <c r="AB200"/>
      <c r="AC200"/>
      <c r="AD200"/>
      <c r="AE200"/>
      <c r="AF200"/>
      <c r="AG200"/>
      <c r="AH200"/>
      <c r="AI200"/>
      <c r="AJ200"/>
      <c r="AK200"/>
    </row>
    <row r="201" spans="1:47" s="75" customFormat="1" ht="27" customHeight="1" x14ac:dyDescent="0.2">
      <c r="A201" s="54"/>
      <c r="B201" s="54"/>
      <c r="C201" s="53"/>
      <c r="D201" s="53"/>
      <c r="E201" s="53"/>
      <c r="F201" s="53"/>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s="75" customFormat="1" ht="36" customHeight="1" x14ac:dyDescent="0.2">
      <c r="A202" s="433"/>
      <c r="B202" s="433"/>
      <c r="C202" s="433"/>
      <c r="D202" s="433"/>
      <c r="E202" s="433"/>
      <c r="F202" s="433"/>
      <c r="G202" s="433"/>
      <c r="H202" s="433"/>
      <c r="I202" s="433"/>
      <c r="J202" s="433"/>
      <c r="K202" s="433"/>
      <c r="L202" s="433"/>
      <c r="M202" s="433"/>
      <c r="N202" s="433"/>
      <c r="O202" s="433"/>
      <c r="P202" s="433"/>
      <c r="Q202" s="433"/>
      <c r="R202" s="433"/>
      <c r="S202" s="433"/>
      <c r="T202" s="433"/>
      <c r="U202"/>
      <c r="V202"/>
      <c r="W202"/>
      <c r="X202"/>
      <c r="Y202"/>
      <c r="Z202"/>
      <c r="AA202"/>
      <c r="AB202"/>
      <c r="AC202"/>
      <c r="AD202"/>
      <c r="AE202"/>
      <c r="AF202"/>
      <c r="AG202"/>
      <c r="AH202"/>
      <c r="AI202"/>
      <c r="AJ202"/>
      <c r="AK202"/>
      <c r="AL202"/>
      <c r="AM202"/>
      <c r="AN202"/>
      <c r="AO202"/>
      <c r="AP202"/>
      <c r="AQ202"/>
      <c r="AR202"/>
      <c r="AS202"/>
      <c r="AT202"/>
      <c r="AU202"/>
    </row>
    <row r="203" spans="1:47" ht="23.25" customHeight="1" x14ac:dyDescent="0.2">
      <c r="A203" s="324" t="s">
        <v>235</v>
      </c>
      <c r="B203" s="325"/>
      <c r="C203" s="330" t="s">
        <v>236</v>
      </c>
      <c r="D203" s="330" t="s">
        <v>193</v>
      </c>
      <c r="E203" s="332" t="s">
        <v>194</v>
      </c>
      <c r="F203" s="333"/>
      <c r="G203" s="332" t="s">
        <v>195</v>
      </c>
      <c r="H203" s="336"/>
      <c r="I203" s="336"/>
      <c r="J203" s="336"/>
      <c r="K203" s="336"/>
      <c r="L203" s="336"/>
      <c r="M203" s="336"/>
      <c r="N203" s="333"/>
      <c r="O203" s="332" t="s">
        <v>196</v>
      </c>
      <c r="P203" s="336"/>
      <c r="Q203" s="336"/>
      <c r="R203" s="333"/>
      <c r="S203" s="438" t="s">
        <v>197</v>
      </c>
      <c r="T203" s="333" t="s">
        <v>198</v>
      </c>
    </row>
    <row r="204" spans="1:47" ht="39.4" customHeight="1" x14ac:dyDescent="0.2">
      <c r="A204" s="434"/>
      <c r="B204" s="435"/>
      <c r="C204" s="356"/>
      <c r="D204" s="331"/>
      <c r="E204" s="334"/>
      <c r="F204" s="335"/>
      <c r="G204" s="334"/>
      <c r="H204" s="337"/>
      <c r="I204" s="337"/>
      <c r="J204" s="337"/>
      <c r="K204" s="337"/>
      <c r="L204" s="337"/>
      <c r="M204" s="337"/>
      <c r="N204" s="335"/>
      <c r="O204" s="334"/>
      <c r="P204" s="337"/>
      <c r="Q204" s="337"/>
      <c r="R204" s="335"/>
      <c r="S204" s="439"/>
      <c r="T204" s="335"/>
    </row>
    <row r="205" spans="1:47" ht="24.75" customHeight="1" x14ac:dyDescent="0.2">
      <c r="A205" s="436"/>
      <c r="B205" s="437"/>
      <c r="C205" s="357"/>
      <c r="D205" s="377" t="s">
        <v>199</v>
      </c>
      <c r="E205" s="378"/>
      <c r="F205" s="379"/>
      <c r="G205" s="377" t="s">
        <v>200</v>
      </c>
      <c r="H205" s="378"/>
      <c r="I205" s="378"/>
      <c r="J205" s="378"/>
      <c r="K205" s="378"/>
      <c r="L205" s="378"/>
      <c r="M205" s="378"/>
      <c r="N205" s="379"/>
      <c r="O205" s="377" t="s">
        <v>201</v>
      </c>
      <c r="P205" s="378"/>
      <c r="Q205" s="378"/>
      <c r="R205" s="379"/>
      <c r="S205" s="439"/>
      <c r="T205" s="333" t="s">
        <v>113</v>
      </c>
    </row>
    <row r="206" spans="1:47" ht="30" customHeight="1" x14ac:dyDescent="0.2">
      <c r="A206" s="76" t="s">
        <v>138</v>
      </c>
      <c r="B206" s="77"/>
      <c r="C206" s="78"/>
      <c r="D206" s="78" t="s">
        <v>202</v>
      </c>
      <c r="E206" s="78" t="s">
        <v>203</v>
      </c>
      <c r="F206" s="78" t="s">
        <v>204</v>
      </c>
      <c r="G206" s="78" t="s">
        <v>205</v>
      </c>
      <c r="H206" s="78" t="s">
        <v>206</v>
      </c>
      <c r="I206" s="78" t="s">
        <v>207</v>
      </c>
      <c r="J206" s="78" t="s">
        <v>208</v>
      </c>
      <c r="K206" s="78" t="s">
        <v>209</v>
      </c>
      <c r="L206" s="377" t="s">
        <v>210</v>
      </c>
      <c r="M206" s="379"/>
      <c r="N206" s="78" t="s">
        <v>211</v>
      </c>
      <c r="O206" s="78" t="s">
        <v>212</v>
      </c>
      <c r="P206" s="78" t="s">
        <v>213</v>
      </c>
      <c r="Q206" s="78" t="s">
        <v>214</v>
      </c>
      <c r="R206" s="78" t="s">
        <v>215</v>
      </c>
      <c r="S206" s="440"/>
      <c r="T206" s="335"/>
    </row>
    <row r="207" spans="1:47" ht="30" customHeight="1" x14ac:dyDescent="0.2">
      <c r="A207" s="79">
        <v>0.1</v>
      </c>
      <c r="B207" s="71" t="s">
        <v>156</v>
      </c>
      <c r="C207" s="450"/>
      <c r="D207" s="451"/>
      <c r="E207" s="451"/>
      <c r="F207" s="451"/>
      <c r="G207" s="451"/>
      <c r="H207" s="451"/>
      <c r="I207" s="451"/>
      <c r="J207" s="451"/>
      <c r="K207" s="451"/>
      <c r="L207" s="451"/>
      <c r="M207" s="451"/>
      <c r="N207" s="452"/>
      <c r="O207" s="28" t="s">
        <v>216</v>
      </c>
      <c r="P207" s="28"/>
      <c r="Q207" s="28"/>
      <c r="R207" s="28"/>
      <c r="S207" s="117">
        <f>SUM(C207:R207)</f>
        <v>0</v>
      </c>
      <c r="T207" s="25"/>
    </row>
    <row r="208" spans="1:47" ht="30" customHeight="1" x14ac:dyDescent="0.2">
      <c r="A208" s="70">
        <v>0.2</v>
      </c>
      <c r="B208" s="71" t="s">
        <v>158</v>
      </c>
      <c r="C208" s="343"/>
      <c r="D208" s="344"/>
      <c r="E208" s="344"/>
      <c r="F208" s="344"/>
      <c r="G208" s="344"/>
      <c r="H208" s="344"/>
      <c r="I208" s="344"/>
      <c r="J208" s="344"/>
      <c r="K208" s="344"/>
      <c r="L208" s="344"/>
      <c r="M208" s="344"/>
      <c r="N208" s="345"/>
      <c r="O208" s="21">
        <v>39423</v>
      </c>
      <c r="P208" s="21" t="s">
        <v>298</v>
      </c>
      <c r="Q208" s="21" t="s">
        <v>298</v>
      </c>
      <c r="R208" s="21" t="s">
        <v>298</v>
      </c>
      <c r="S208" s="117">
        <f t="shared" ref="S208:S222" si="5">SUM(C208:R208)</f>
        <v>39423</v>
      </c>
      <c r="T208" s="24"/>
    </row>
    <row r="209" spans="1:20" ht="30" customHeight="1" x14ac:dyDescent="0.2">
      <c r="A209" s="70">
        <v>0.3</v>
      </c>
      <c r="B209" s="71" t="s">
        <v>159</v>
      </c>
      <c r="C209" s="24"/>
      <c r="D209" s="24"/>
      <c r="E209" s="26"/>
      <c r="F209" s="27"/>
      <c r="G209" s="27"/>
      <c r="H209" s="28"/>
      <c r="I209" s="28"/>
      <c r="J209" s="28"/>
      <c r="K209" s="28"/>
      <c r="L209" s="450"/>
      <c r="M209" s="451"/>
      <c r="N209" s="452"/>
      <c r="O209" s="21" t="s">
        <v>298</v>
      </c>
      <c r="P209" s="21" t="s">
        <v>298</v>
      </c>
      <c r="Q209" s="21" t="s">
        <v>298</v>
      </c>
      <c r="R209" s="21" t="s">
        <v>298</v>
      </c>
      <c r="S209" s="117">
        <f t="shared" si="5"/>
        <v>0</v>
      </c>
      <c r="T209" s="24"/>
    </row>
    <row r="210" spans="1:20" ht="30" customHeight="1" x14ac:dyDescent="0.2">
      <c r="A210" s="70">
        <v>0.4</v>
      </c>
      <c r="B210" s="71" t="s">
        <v>160</v>
      </c>
      <c r="C210" s="24"/>
      <c r="D210" s="24"/>
      <c r="E210" s="26"/>
      <c r="F210" s="27"/>
      <c r="G210" s="29"/>
      <c r="H210" s="28"/>
      <c r="I210" s="28"/>
      <c r="J210" s="28"/>
      <c r="K210" s="28"/>
      <c r="L210" s="340"/>
      <c r="M210" s="341"/>
      <c r="N210" s="342"/>
      <c r="O210" s="21" t="s">
        <v>298</v>
      </c>
      <c r="P210" s="21" t="s">
        <v>298</v>
      </c>
      <c r="Q210" s="21" t="s">
        <v>298</v>
      </c>
      <c r="R210" s="21" t="s">
        <v>298</v>
      </c>
      <c r="S210" s="117">
        <f t="shared" si="5"/>
        <v>0</v>
      </c>
      <c r="T210" s="28"/>
    </row>
    <row r="211" spans="1:20" ht="30" customHeight="1" x14ac:dyDescent="0.2">
      <c r="A211" s="70">
        <v>0.5</v>
      </c>
      <c r="B211" s="71" t="s">
        <v>217</v>
      </c>
      <c r="C211" s="24"/>
      <c r="D211" s="24"/>
      <c r="E211" s="26"/>
      <c r="F211" s="27"/>
      <c r="G211" s="29"/>
      <c r="H211" s="28"/>
      <c r="I211" s="28"/>
      <c r="J211" s="28"/>
      <c r="K211" s="28"/>
      <c r="L211" s="340"/>
      <c r="M211" s="341"/>
      <c r="N211" s="342"/>
      <c r="O211" s="21" t="s">
        <v>298</v>
      </c>
      <c r="P211" s="21" t="s">
        <v>298</v>
      </c>
      <c r="Q211" s="21" t="s">
        <v>298</v>
      </c>
      <c r="R211" s="21" t="s">
        <v>298</v>
      </c>
      <c r="S211" s="117">
        <f t="shared" si="5"/>
        <v>0</v>
      </c>
      <c r="T211" s="28"/>
    </row>
    <row r="212" spans="1:20" ht="30" customHeight="1" x14ac:dyDescent="0.2">
      <c r="A212" s="70">
        <v>1</v>
      </c>
      <c r="B212" s="77" t="s">
        <v>161</v>
      </c>
      <c r="C212" s="21">
        <v>0</v>
      </c>
      <c r="D212" s="21">
        <v>840793.7</v>
      </c>
      <c r="E212" s="22">
        <v>77446.11</v>
      </c>
      <c r="F212" s="21">
        <v>58707.21</v>
      </c>
      <c r="G212" s="21" t="s">
        <v>298</v>
      </c>
      <c r="H212" s="21">
        <v>0</v>
      </c>
      <c r="I212" s="21">
        <v>0</v>
      </c>
      <c r="J212" s="21" t="s">
        <v>298</v>
      </c>
      <c r="K212" s="21" t="s">
        <v>298</v>
      </c>
      <c r="L212" s="340"/>
      <c r="M212" s="341"/>
      <c r="N212" s="342"/>
      <c r="O212" s="21" t="s">
        <v>298</v>
      </c>
      <c r="P212" s="21">
        <v>37037.879999999997</v>
      </c>
      <c r="Q212" s="21">
        <v>16990.13</v>
      </c>
      <c r="R212" s="21">
        <v>360.55</v>
      </c>
      <c r="S212" s="117">
        <f t="shared" si="5"/>
        <v>1031335.58</v>
      </c>
      <c r="T212" s="24">
        <v>-171636.19</v>
      </c>
    </row>
    <row r="213" spans="1:20" ht="30" customHeight="1" x14ac:dyDescent="0.2">
      <c r="A213" s="70">
        <v>2.1</v>
      </c>
      <c r="B213" s="71" t="s">
        <v>162</v>
      </c>
      <c r="C213" s="21">
        <v>0</v>
      </c>
      <c r="D213" s="21">
        <v>1342590</v>
      </c>
      <c r="E213" s="21">
        <v>19794.45</v>
      </c>
      <c r="F213" s="21">
        <v>49010.16</v>
      </c>
      <c r="G213" s="21" t="s">
        <v>298</v>
      </c>
      <c r="H213" s="21">
        <v>0</v>
      </c>
      <c r="I213" s="21">
        <v>0</v>
      </c>
      <c r="J213" s="21" t="s">
        <v>298</v>
      </c>
      <c r="K213" s="21" t="s">
        <v>298</v>
      </c>
      <c r="L213" s="340"/>
      <c r="M213" s="341"/>
      <c r="N213" s="342"/>
      <c r="O213" s="21" t="s">
        <v>298</v>
      </c>
      <c r="P213" s="21">
        <v>13693.86</v>
      </c>
      <c r="Q213" s="21">
        <v>6509.41</v>
      </c>
      <c r="R213" s="21">
        <v>1232.1099999999999</v>
      </c>
      <c r="S213" s="117">
        <f t="shared" si="5"/>
        <v>1432829.99</v>
      </c>
      <c r="T213" s="24">
        <v>-1197725.8799999999</v>
      </c>
    </row>
    <row r="214" spans="1:20" ht="30" customHeight="1" x14ac:dyDescent="0.2">
      <c r="A214" s="70">
        <v>2.2000000000000002</v>
      </c>
      <c r="B214" s="71" t="s">
        <v>163</v>
      </c>
      <c r="C214" s="21">
        <v>-2345555</v>
      </c>
      <c r="D214" s="21">
        <v>879510.7</v>
      </c>
      <c r="E214" s="22">
        <v>18926.93</v>
      </c>
      <c r="F214" s="21">
        <v>36078.080000000002</v>
      </c>
      <c r="G214" s="21" t="s">
        <v>298</v>
      </c>
      <c r="H214" s="21">
        <v>0</v>
      </c>
      <c r="I214" s="21">
        <v>0</v>
      </c>
      <c r="J214" s="21">
        <v>73154.48</v>
      </c>
      <c r="K214" s="21">
        <v>0</v>
      </c>
      <c r="L214" s="340"/>
      <c r="M214" s="341"/>
      <c r="N214" s="342"/>
      <c r="O214" s="21" t="s">
        <v>298</v>
      </c>
      <c r="P214" s="21">
        <v>17214.12</v>
      </c>
      <c r="Q214" s="21">
        <v>2346537</v>
      </c>
      <c r="R214" s="21">
        <v>32474.79</v>
      </c>
      <c r="S214" s="117">
        <f>SUM(C214:R214)</f>
        <v>1058341.1000000001</v>
      </c>
      <c r="T214" s="24">
        <v>-458427.09</v>
      </c>
    </row>
    <row r="215" spans="1:20" ht="30" customHeight="1" x14ac:dyDescent="0.2">
      <c r="A215" s="70">
        <v>2.2999999999999998</v>
      </c>
      <c r="B215" s="71" t="s">
        <v>164</v>
      </c>
      <c r="C215" s="21">
        <v>-10287.700000000001</v>
      </c>
      <c r="D215" s="21">
        <v>74995.990000000005</v>
      </c>
      <c r="E215" s="22">
        <v>528.63</v>
      </c>
      <c r="F215" s="21">
        <v>4214.6499999999996</v>
      </c>
      <c r="G215" s="21" t="s">
        <v>298</v>
      </c>
      <c r="H215" s="21">
        <v>4020.8400784607479</v>
      </c>
      <c r="I215" s="21">
        <v>1005.210019615187</v>
      </c>
      <c r="J215" s="21">
        <v>1520.69</v>
      </c>
      <c r="K215" s="21">
        <v>0</v>
      </c>
      <c r="L215" s="340"/>
      <c r="M215" s="341"/>
      <c r="N215" s="342"/>
      <c r="O215" s="21" t="s">
        <v>298</v>
      </c>
      <c r="P215" s="21">
        <v>240.16</v>
      </c>
      <c r="Q215" s="21">
        <v>29521.15</v>
      </c>
      <c r="R215" s="21">
        <v>735.72</v>
      </c>
      <c r="S215" s="117">
        <f t="shared" si="5"/>
        <v>106495.34009807595</v>
      </c>
      <c r="T215" s="24">
        <v>-48526.89</v>
      </c>
    </row>
    <row r="216" spans="1:20" ht="30" customHeight="1" x14ac:dyDescent="0.2">
      <c r="A216" s="70">
        <v>2.4</v>
      </c>
      <c r="B216" s="71" t="s">
        <v>165</v>
      </c>
      <c r="C216" s="21">
        <v>0</v>
      </c>
      <c r="D216" s="21">
        <v>79651.95</v>
      </c>
      <c r="E216" s="22">
        <v>1405.91</v>
      </c>
      <c r="F216" s="21">
        <v>2260.63</v>
      </c>
      <c r="G216" s="21" t="s">
        <v>298</v>
      </c>
      <c r="H216" s="21">
        <v>4201.3216808835978</v>
      </c>
      <c r="I216" s="21">
        <v>1050.3304202208994</v>
      </c>
      <c r="J216" s="21">
        <v>8734.09</v>
      </c>
      <c r="K216" s="21" t="s">
        <v>298</v>
      </c>
      <c r="L216" s="340"/>
      <c r="M216" s="341"/>
      <c r="N216" s="342"/>
      <c r="O216" s="21" t="s">
        <v>298</v>
      </c>
      <c r="P216" s="21">
        <v>1120.01</v>
      </c>
      <c r="Q216" s="21">
        <v>101</v>
      </c>
      <c r="R216" s="21">
        <v>1.43</v>
      </c>
      <c r="S216" s="117">
        <f t="shared" si="5"/>
        <v>98526.672101104487</v>
      </c>
      <c r="T216" s="24">
        <v>-15498.6</v>
      </c>
    </row>
    <row r="217" spans="1:20" ht="30" customHeight="1" x14ac:dyDescent="0.2">
      <c r="A217" s="70">
        <v>2.5</v>
      </c>
      <c r="B217" s="71" t="s">
        <v>166</v>
      </c>
      <c r="C217" s="21">
        <v>0</v>
      </c>
      <c r="D217" s="21">
        <v>431292.8</v>
      </c>
      <c r="E217" s="22">
        <v>1966.13</v>
      </c>
      <c r="F217" s="21">
        <v>16607.060000000001</v>
      </c>
      <c r="G217" s="21" t="s">
        <v>298</v>
      </c>
      <c r="H217" s="21">
        <v>0</v>
      </c>
      <c r="I217" s="21">
        <v>0</v>
      </c>
      <c r="J217" s="21">
        <v>299033.46000000002</v>
      </c>
      <c r="K217" s="21">
        <v>0</v>
      </c>
      <c r="L217" s="340"/>
      <c r="M217" s="341"/>
      <c r="N217" s="342"/>
      <c r="O217" s="21" t="s">
        <v>298</v>
      </c>
      <c r="P217" s="21">
        <v>5241.0200000000004</v>
      </c>
      <c r="Q217" s="21">
        <v>1796.9</v>
      </c>
      <c r="R217" s="21">
        <v>193.97</v>
      </c>
      <c r="S217" s="117">
        <f t="shared" si="5"/>
        <v>756131.34</v>
      </c>
      <c r="T217" s="24">
        <v>-85136.53</v>
      </c>
    </row>
    <row r="218" spans="1:20" ht="30" customHeight="1" x14ac:dyDescent="0.2">
      <c r="A218" s="70">
        <v>2.6</v>
      </c>
      <c r="B218" s="71" t="s">
        <v>167</v>
      </c>
      <c r="C218" s="21">
        <v>0</v>
      </c>
      <c r="D218" s="21">
        <v>47272.49</v>
      </c>
      <c r="E218" s="22">
        <v>62.3</v>
      </c>
      <c r="F218" s="21">
        <v>80.78</v>
      </c>
      <c r="G218" s="21" t="s">
        <v>298</v>
      </c>
      <c r="H218" s="21">
        <v>2390.9226181661943</v>
      </c>
      <c r="I218" s="21">
        <v>597.73065454154857</v>
      </c>
      <c r="J218" s="21">
        <v>47848.74</v>
      </c>
      <c r="K218" s="21">
        <v>0</v>
      </c>
      <c r="L218" s="340"/>
      <c r="M218" s="341"/>
      <c r="N218" s="342"/>
      <c r="O218" s="21" t="s">
        <v>298</v>
      </c>
      <c r="P218" s="21">
        <v>192.04</v>
      </c>
      <c r="Q218" s="21">
        <v>321.91000000000003</v>
      </c>
      <c r="R218" s="21"/>
      <c r="S218" s="117">
        <f t="shared" si="5"/>
        <v>98766.913272707738</v>
      </c>
      <c r="T218" s="24">
        <v>-618.51</v>
      </c>
    </row>
    <row r="219" spans="1:20" ht="30" customHeight="1" x14ac:dyDescent="0.2">
      <c r="A219" s="70">
        <v>2.7</v>
      </c>
      <c r="B219" s="71" t="s">
        <v>168</v>
      </c>
      <c r="C219" s="21">
        <v>0</v>
      </c>
      <c r="D219" s="21">
        <v>40087.519999999997</v>
      </c>
      <c r="E219" s="22">
        <v>311.11</v>
      </c>
      <c r="F219" s="21">
        <v>4373.97</v>
      </c>
      <c r="G219" s="21" t="s">
        <v>298</v>
      </c>
      <c r="H219" s="21">
        <v>2257.6512739192581</v>
      </c>
      <c r="I219" s="21">
        <v>564.41281847981452</v>
      </c>
      <c r="J219" s="21">
        <v>43304.55</v>
      </c>
      <c r="K219" s="21">
        <v>0</v>
      </c>
      <c r="L219" s="340"/>
      <c r="M219" s="341"/>
      <c r="N219" s="342"/>
      <c r="O219" s="21" t="s">
        <v>298</v>
      </c>
      <c r="P219" s="21">
        <v>2877.35</v>
      </c>
      <c r="Q219" s="21">
        <v>3442.85</v>
      </c>
      <c r="R219" s="21">
        <v>1.01</v>
      </c>
      <c r="S219" s="117">
        <f t="shared" si="5"/>
        <v>97220.424092399087</v>
      </c>
      <c r="T219" s="24">
        <v>-23303.39</v>
      </c>
    </row>
    <row r="220" spans="1:20" ht="30" customHeight="1" x14ac:dyDescent="0.2">
      <c r="A220" s="70">
        <v>2.8</v>
      </c>
      <c r="B220" s="71" t="s">
        <v>169</v>
      </c>
      <c r="C220" s="21">
        <v>-33175</v>
      </c>
      <c r="D220" s="21">
        <v>30541.71</v>
      </c>
      <c r="E220" s="22">
        <v>131.29</v>
      </c>
      <c r="F220" s="21">
        <v>0</v>
      </c>
      <c r="G220" s="21" t="s">
        <v>298</v>
      </c>
      <c r="H220" s="21">
        <v>1546.6811738635995</v>
      </c>
      <c r="I220" s="21">
        <v>386.67029346589987</v>
      </c>
      <c r="J220" s="21">
        <v>31058.97</v>
      </c>
      <c r="K220" s="21">
        <v>0</v>
      </c>
      <c r="L220" s="340"/>
      <c r="M220" s="341"/>
      <c r="N220" s="342"/>
      <c r="O220" s="21" t="s">
        <v>298</v>
      </c>
      <c r="P220" s="21">
        <v>100.99</v>
      </c>
      <c r="Q220" s="21">
        <v>33446.29</v>
      </c>
      <c r="R220" s="21">
        <v>13.71</v>
      </c>
      <c r="S220" s="117">
        <f t="shared" si="5"/>
        <v>64051.311467329499</v>
      </c>
      <c r="T220" s="24">
        <v>0</v>
      </c>
    </row>
    <row r="221" spans="1:20" ht="30" customHeight="1" x14ac:dyDescent="0.2">
      <c r="A221" s="70">
        <v>3</v>
      </c>
      <c r="B221" s="77" t="s">
        <v>170</v>
      </c>
      <c r="C221" s="21">
        <v>0</v>
      </c>
      <c r="D221" s="21">
        <v>612478.19999999995</v>
      </c>
      <c r="E221" s="22">
        <v>1561.41</v>
      </c>
      <c r="F221" s="21">
        <v>33692.36</v>
      </c>
      <c r="G221" s="21" t="s">
        <v>298</v>
      </c>
      <c r="H221" s="21">
        <v>32661.780127191174</v>
      </c>
      <c r="I221" s="21">
        <v>8165.4450317977935</v>
      </c>
      <c r="J221" s="21">
        <v>680107.37</v>
      </c>
      <c r="K221" s="21">
        <v>0</v>
      </c>
      <c r="L221" s="340"/>
      <c r="M221" s="341"/>
      <c r="N221" s="342"/>
      <c r="O221" s="21" t="s">
        <v>298</v>
      </c>
      <c r="P221" s="21">
        <v>13433.99</v>
      </c>
      <c r="Q221" s="21">
        <v>12128.44</v>
      </c>
      <c r="R221" s="21">
        <v>18.53</v>
      </c>
      <c r="S221" s="117">
        <f t="shared" ref="S221" si="6">SUM(C221:R221)</f>
        <v>1394247.5251589888</v>
      </c>
      <c r="T221" s="24">
        <v>-1598077.95</v>
      </c>
    </row>
    <row r="222" spans="1:20" ht="30" customHeight="1" x14ac:dyDescent="0.2">
      <c r="A222" s="70">
        <v>4</v>
      </c>
      <c r="B222" s="77" t="s">
        <v>218</v>
      </c>
      <c r="C222" s="21"/>
      <c r="D222" s="21"/>
      <c r="E222" s="22"/>
      <c r="F222" s="21"/>
      <c r="G222" s="21" t="s">
        <v>298</v>
      </c>
      <c r="H222" s="21">
        <v>0</v>
      </c>
      <c r="I222" s="21">
        <v>0</v>
      </c>
      <c r="J222" s="21" t="s">
        <v>298</v>
      </c>
      <c r="K222" s="21" t="s">
        <v>298</v>
      </c>
      <c r="L222" s="343"/>
      <c r="M222" s="344"/>
      <c r="N222" s="345"/>
      <c r="O222" s="21" t="s">
        <v>298</v>
      </c>
      <c r="P222" s="21"/>
      <c r="Q222" s="21"/>
      <c r="R222" s="21"/>
      <c r="S222" s="117">
        <f t="shared" si="5"/>
        <v>0</v>
      </c>
      <c r="T222" s="27" t="s">
        <v>298</v>
      </c>
    </row>
    <row r="223" spans="1:20" ht="30" customHeight="1" x14ac:dyDescent="0.2">
      <c r="A223" s="70">
        <v>5</v>
      </c>
      <c r="B223" s="77" t="s">
        <v>172</v>
      </c>
      <c r="C223" s="21">
        <v>0</v>
      </c>
      <c r="D223" s="21">
        <v>1370528</v>
      </c>
      <c r="E223" s="22">
        <v>2189.34</v>
      </c>
      <c r="F223" s="21">
        <v>44060.59</v>
      </c>
      <c r="G223" s="21">
        <v>291692.25</v>
      </c>
      <c r="H223" s="21">
        <v>71440.803047515437</v>
      </c>
      <c r="I223" s="21">
        <v>17860.200761878859</v>
      </c>
      <c r="J223" s="21">
        <v>1730623.18</v>
      </c>
      <c r="K223" s="21">
        <v>0</v>
      </c>
      <c r="L223" s="21">
        <v>2378953.1232878556</v>
      </c>
      <c r="M223" s="21">
        <v>2864630.3123463937</v>
      </c>
      <c r="N223" s="21">
        <v>861733.0260000003</v>
      </c>
      <c r="O223" s="21" t="s">
        <v>298</v>
      </c>
      <c r="P223" s="21">
        <v>8584.99</v>
      </c>
      <c r="Q223" s="21">
        <v>6445.93</v>
      </c>
      <c r="R223" s="21">
        <v>826.81</v>
      </c>
      <c r="S223" s="117">
        <f t="shared" ref="S223:S226" si="7">SUM(C223:R223)</f>
        <v>9649568.5554436445</v>
      </c>
      <c r="T223" s="27">
        <v>-1057711.99</v>
      </c>
    </row>
    <row r="224" spans="1:20" ht="30" customHeight="1" x14ac:dyDescent="0.2">
      <c r="A224" s="70">
        <v>6</v>
      </c>
      <c r="B224" s="77" t="s">
        <v>173</v>
      </c>
      <c r="C224" s="21"/>
      <c r="D224" s="21"/>
      <c r="E224" s="22"/>
      <c r="F224" s="21"/>
      <c r="G224" s="21" t="s">
        <v>298</v>
      </c>
      <c r="H224" s="21">
        <v>0</v>
      </c>
      <c r="I224" s="21">
        <v>0</v>
      </c>
      <c r="J224" s="21" t="s">
        <v>298</v>
      </c>
      <c r="K224" s="21" t="s">
        <v>298</v>
      </c>
      <c r="L224" s="453"/>
      <c r="M224" s="454"/>
      <c r="N224" s="455"/>
      <c r="O224" s="21" t="s">
        <v>298</v>
      </c>
      <c r="P224" s="21"/>
      <c r="Q224" s="21"/>
      <c r="R224" s="21"/>
      <c r="S224" s="117">
        <f t="shared" si="7"/>
        <v>0</v>
      </c>
      <c r="T224" s="24" t="s">
        <v>298</v>
      </c>
    </row>
    <row r="225" spans="1:47" ht="30" customHeight="1" x14ac:dyDescent="0.2">
      <c r="A225" s="70">
        <v>7</v>
      </c>
      <c r="B225" s="77" t="s">
        <v>174</v>
      </c>
      <c r="C225" s="21"/>
      <c r="D225" s="21"/>
      <c r="E225" s="22"/>
      <c r="F225" s="21"/>
      <c r="G225" s="21" t="s">
        <v>298</v>
      </c>
      <c r="H225" s="21">
        <v>0</v>
      </c>
      <c r="I225" s="21">
        <v>0</v>
      </c>
      <c r="J225" s="21" t="s">
        <v>298</v>
      </c>
      <c r="K225" s="21" t="s">
        <v>298</v>
      </c>
      <c r="L225" s="456"/>
      <c r="M225" s="457"/>
      <c r="N225" s="458"/>
      <c r="O225" s="21" t="s">
        <v>298</v>
      </c>
      <c r="P225" s="21"/>
      <c r="Q225" s="21"/>
      <c r="R225" s="21"/>
      <c r="S225" s="117">
        <f t="shared" si="7"/>
        <v>0</v>
      </c>
      <c r="T225" s="24" t="s">
        <v>298</v>
      </c>
    </row>
    <row r="226" spans="1:47" ht="30" customHeight="1" x14ac:dyDescent="0.2">
      <c r="A226" s="70">
        <v>8</v>
      </c>
      <c r="B226" s="77" t="s">
        <v>175</v>
      </c>
      <c r="C226" s="21">
        <v>0</v>
      </c>
      <c r="D226" s="21">
        <v>63240.23</v>
      </c>
      <c r="E226" s="22">
        <v>860.42</v>
      </c>
      <c r="F226" s="21">
        <v>65.040000000000006</v>
      </c>
      <c r="G226" s="21" t="s">
        <v>298</v>
      </c>
      <c r="H226" s="21">
        <v>0</v>
      </c>
      <c r="I226" s="21">
        <v>0</v>
      </c>
      <c r="J226" s="21" t="s">
        <v>298</v>
      </c>
      <c r="K226" s="21">
        <v>0</v>
      </c>
      <c r="L226" s="459"/>
      <c r="M226" s="460"/>
      <c r="N226" s="461"/>
      <c r="O226" s="21" t="s">
        <v>298</v>
      </c>
      <c r="P226" s="21">
        <v>1214.3599999999999</v>
      </c>
      <c r="Q226" s="21">
        <v>578.70000000000005</v>
      </c>
      <c r="R226" s="21">
        <v>2.4</v>
      </c>
      <c r="S226" s="117">
        <f t="shared" si="7"/>
        <v>65961.149999999994</v>
      </c>
      <c r="T226" s="24">
        <v>-63067.73</v>
      </c>
    </row>
    <row r="227" spans="1:47" ht="30" customHeight="1" x14ac:dyDescent="0.2">
      <c r="A227" s="322" t="s">
        <v>222</v>
      </c>
      <c r="B227" s="323"/>
      <c r="C227" s="205" t="s">
        <v>298</v>
      </c>
      <c r="D227" s="206" t="s">
        <v>298</v>
      </c>
      <c r="E227" s="207" t="s">
        <v>298</v>
      </c>
      <c r="F227" s="24">
        <v>194609.84</v>
      </c>
      <c r="G227" s="368"/>
      <c r="H227" s="369"/>
      <c r="I227" s="369"/>
      <c r="J227" s="369"/>
      <c r="K227" s="369"/>
      <c r="L227" s="369"/>
      <c r="M227" s="369"/>
      <c r="N227" s="369"/>
      <c r="O227" s="369"/>
      <c r="P227" s="369"/>
      <c r="Q227" s="369"/>
      <c r="R227" s="370"/>
      <c r="S227" s="117">
        <f>F227</f>
        <v>194609.84</v>
      </c>
      <c r="T227" s="134"/>
    </row>
    <row r="228" spans="1:47" ht="27" customHeight="1" x14ac:dyDescent="0.2">
      <c r="A228" s="289" t="s">
        <v>114</v>
      </c>
      <c r="B228" s="290"/>
      <c r="C228" s="113">
        <f>SUM(C209:C226)</f>
        <v>-2389017.7000000002</v>
      </c>
      <c r="D228" s="113">
        <f t="shared" ref="D228:K228" si="8">SUM(D209:D226)</f>
        <v>5812983.290000001</v>
      </c>
      <c r="E228" s="114">
        <f t="shared" si="8"/>
        <v>125184.03</v>
      </c>
      <c r="F228" s="113">
        <f>SUM(F209:F227)</f>
        <v>443760.37</v>
      </c>
      <c r="G228" s="113">
        <f>SUM(G209:G226)</f>
        <v>291692.25</v>
      </c>
      <c r="H228" s="113">
        <f t="shared" si="8"/>
        <v>118520</v>
      </c>
      <c r="I228" s="113">
        <f t="shared" si="8"/>
        <v>29630</v>
      </c>
      <c r="J228" s="113">
        <f t="shared" si="8"/>
        <v>2915385.5300000003</v>
      </c>
      <c r="K228" s="113">
        <f t="shared" si="8"/>
        <v>0</v>
      </c>
      <c r="L228" s="444">
        <f>L223+M223</f>
        <v>5243583.4356342498</v>
      </c>
      <c r="M228" s="445"/>
      <c r="N228" s="113">
        <f>N223</f>
        <v>861733.0260000003</v>
      </c>
      <c r="O228" s="113">
        <f>SUM(O207:O226)</f>
        <v>39423</v>
      </c>
      <c r="P228" s="113">
        <f t="shared" ref="P228:R228" si="9">SUM(P207:P226)</f>
        <v>100950.77000000002</v>
      </c>
      <c r="Q228" s="113">
        <f t="shared" si="9"/>
        <v>2457819.7100000004</v>
      </c>
      <c r="R228" s="113">
        <f t="shared" si="9"/>
        <v>35861.03</v>
      </c>
      <c r="S228" s="113">
        <f>SUM(S207:S227)</f>
        <v>16087508.74163425</v>
      </c>
      <c r="T228" s="113">
        <f>SUM(T207:T226)</f>
        <v>-4719730.75</v>
      </c>
    </row>
    <row r="229" spans="1:47" ht="27" customHeight="1" x14ac:dyDescent="0.2">
      <c r="A229" s="289" t="s">
        <v>237</v>
      </c>
      <c r="B229" s="290"/>
      <c r="C229" s="115">
        <f t="shared" ref="C229:K229" si="10">C228/$C$6</f>
        <v>-201.57084880188998</v>
      </c>
      <c r="D229" s="115">
        <f t="shared" si="10"/>
        <v>490.46433428957147</v>
      </c>
      <c r="E229" s="115">
        <f t="shared" si="10"/>
        <v>10.562270502868714</v>
      </c>
      <c r="F229" s="115">
        <f t="shared" si="10"/>
        <v>37.44181319608505</v>
      </c>
      <c r="G229" s="115">
        <f t="shared" si="10"/>
        <v>24.611225953425581</v>
      </c>
      <c r="H229" s="115">
        <f t="shared" si="10"/>
        <v>10</v>
      </c>
      <c r="I229" s="115">
        <f t="shared" si="10"/>
        <v>2.5</v>
      </c>
      <c r="J229" s="115">
        <f t="shared" si="10"/>
        <v>245.98257931150863</v>
      </c>
      <c r="K229" s="115">
        <f t="shared" si="10"/>
        <v>0</v>
      </c>
      <c r="L229" s="446">
        <f>L228/$C$6</f>
        <v>442.42182210886347</v>
      </c>
      <c r="M229" s="447"/>
      <c r="N229" s="115">
        <f t="shared" ref="N229" si="11">N228/$C$6</f>
        <v>72.707815221059761</v>
      </c>
      <c r="O229" s="115">
        <f t="shared" ref="O229" si="12">O228/$C$6</f>
        <v>3.3262740465744178</v>
      </c>
      <c r="P229" s="115">
        <f t="shared" ref="P229" si="13">P228/$C$6</f>
        <v>8.517614748565645</v>
      </c>
      <c r="Q229" s="115">
        <f t="shared" ref="Q229" si="14">Q228/$C$6</f>
        <v>207.37594583192714</v>
      </c>
      <c r="R229" s="115">
        <f t="shared" ref="R229" si="15">R228/$C$6</f>
        <v>3.0257365845426931</v>
      </c>
      <c r="S229" s="115">
        <f t="shared" ref="S229" si="16">S228/$C$6</f>
        <v>1357.3665829931024</v>
      </c>
      <c r="T229" s="115">
        <f t="shared" ref="T229" si="17">T228/$C$6</f>
        <v>-398.22230425244686</v>
      </c>
    </row>
    <row r="230" spans="1:47" ht="15.75" customHeight="1" x14ac:dyDescent="0.2">
      <c r="A230" s="448" t="s">
        <v>223</v>
      </c>
      <c r="B230" s="449"/>
      <c r="C230" s="449"/>
      <c r="D230" s="449"/>
      <c r="E230" s="449"/>
      <c r="F230" s="449"/>
      <c r="G230" s="449"/>
      <c r="H230" s="449"/>
      <c r="I230" s="449"/>
      <c r="J230" s="449"/>
      <c r="K230" s="449"/>
      <c r="L230" s="449"/>
      <c r="M230" s="449"/>
      <c r="N230" s="449"/>
      <c r="O230" s="449"/>
      <c r="P230" s="449"/>
      <c r="Q230" s="449"/>
      <c r="R230" s="449"/>
      <c r="S230" s="449"/>
      <c r="T230" s="449"/>
    </row>
    <row r="231" spans="1:47" ht="15" customHeight="1" x14ac:dyDescent="0.2">
      <c r="A231" s="80" t="s">
        <v>224</v>
      </c>
      <c r="B231" s="80"/>
      <c r="C231" s="80"/>
      <c r="D231" s="80"/>
      <c r="E231" s="80"/>
      <c r="F231" s="80"/>
      <c r="G231" s="80"/>
      <c r="H231" s="80"/>
      <c r="I231" s="80"/>
      <c r="J231" s="80"/>
      <c r="K231" s="80"/>
      <c r="L231" s="80"/>
      <c r="M231" s="80"/>
      <c r="N231" s="80"/>
      <c r="O231" s="80"/>
      <c r="P231" s="133"/>
      <c r="Q231" s="133"/>
      <c r="R231" s="133"/>
      <c r="S231" s="133"/>
      <c r="T231" s="133"/>
    </row>
    <row r="232" spans="1:47" s="84" customFormat="1" ht="37.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row>
    <row r="233" spans="1:47" ht="12.7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row>
    <row r="234" spans="1:47" ht="65.2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83"/>
    </row>
    <row r="235" spans="1:47" ht="12.7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row>
    <row r="236" spans="1:47" ht="26.6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83"/>
    </row>
    <row r="237" spans="1:47" ht="25.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row>
    <row r="238" spans="1:47" ht="29.6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83"/>
    </row>
    <row r="239" spans="1:47" ht="29.2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row>
    <row r="240" spans="1:47" ht="33"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83"/>
    </row>
    <row r="241" spans="1:21" ht="33"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row>
    <row r="242" spans="1:21" ht="33.4"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83"/>
    </row>
    <row r="243" spans="1:21" ht="29.6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row>
    <row r="244" spans="1:21" ht="34.9"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83"/>
    </row>
    <row r="245" spans="1:21" ht="28.9"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row>
    <row r="246" spans="1:21" ht="31.9"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83"/>
    </row>
    <row r="247" spans="1:21" ht="33"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row>
    <row r="248" spans="1:21" ht="34.1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83"/>
    </row>
    <row r="249" spans="1:21" ht="30.4"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row>
    <row r="250" spans="1:21" ht="32.6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83"/>
    </row>
    <row r="251" spans="1:21" ht="31.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row>
    <row r="252" spans="1:21" ht="38.2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83"/>
    </row>
    <row r="253" spans="1:21" ht="24.7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row>
    <row r="254" spans="1:21" ht="25.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83"/>
    </row>
    <row r="255" spans="1:21" ht="31.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row>
    <row r="256" spans="1:21" ht="25.9"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83"/>
    </row>
    <row r="257" spans="1:21" ht="33"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row>
    <row r="258" spans="1:21" ht="37.9"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83"/>
    </row>
    <row r="259" spans="1:21" ht="37.9"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row>
    <row r="260" spans="1:21" ht="23.25"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83"/>
    </row>
    <row r="261" spans="1:21" ht="12.7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row>
    <row r="262" spans="1:21" ht="23.25"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83"/>
    </row>
    <row r="263" spans="1:21" ht="23.25" x14ac:dyDescent="0.2">
      <c r="A263" s="133"/>
      <c r="B263" s="133"/>
      <c r="C263" s="133"/>
      <c r="D263" s="133"/>
      <c r="E263" s="133"/>
      <c r="F263" s="133"/>
      <c r="G263" s="133"/>
      <c r="H263" s="133"/>
      <c r="I263" s="133"/>
      <c r="J263" s="133"/>
      <c r="K263" s="133"/>
      <c r="L263" s="133"/>
      <c r="M263" s="133"/>
      <c r="N263" s="133"/>
      <c r="O263" s="133"/>
      <c r="P263" s="133"/>
      <c r="Q263" s="133"/>
      <c r="R263" s="133"/>
      <c r="S263" s="133"/>
      <c r="T263" s="133"/>
    </row>
    <row r="264" spans="1:21" ht="23.25"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83"/>
    </row>
    <row r="265" spans="1:21" ht="23.25" x14ac:dyDescent="0.2">
      <c r="A265" s="133"/>
      <c r="B265" s="133"/>
      <c r="C265" s="133"/>
      <c r="D265" s="133"/>
      <c r="E265" s="133"/>
      <c r="F265" s="133"/>
      <c r="G265" s="133"/>
      <c r="H265" s="133"/>
      <c r="I265" s="133"/>
      <c r="J265" s="133"/>
      <c r="K265" s="133"/>
      <c r="L265" s="133"/>
      <c r="M265" s="133"/>
      <c r="N265" s="133"/>
      <c r="O265" s="133"/>
      <c r="P265" s="133"/>
      <c r="Q265" s="133"/>
      <c r="R265" s="133"/>
      <c r="S265" s="133"/>
      <c r="T265" s="133"/>
    </row>
    <row r="266" spans="1:21" ht="23.25"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83"/>
    </row>
    <row r="267" spans="1:21" ht="23.25" x14ac:dyDescent="0.2">
      <c r="A267" s="133"/>
      <c r="B267" s="133"/>
      <c r="C267" s="133"/>
      <c r="D267" s="133"/>
      <c r="E267" s="133"/>
      <c r="F267" s="133"/>
      <c r="G267" s="133"/>
      <c r="H267" s="133"/>
      <c r="I267" s="133"/>
      <c r="J267" s="133"/>
      <c r="K267" s="133"/>
      <c r="L267" s="133"/>
      <c r="M267" s="133"/>
      <c r="N267" s="133"/>
      <c r="O267" s="133"/>
      <c r="P267" s="133"/>
      <c r="Q267" s="133"/>
      <c r="R267" s="133"/>
      <c r="S267" s="133"/>
      <c r="T267" s="13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F124:G124"/>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F104:G104"/>
    <mergeCell ref="F108:G108"/>
    <mergeCell ref="F110:G110"/>
    <mergeCell ref="F122:G122"/>
    <mergeCell ref="C41:E41"/>
    <mergeCell ref="C42:E42"/>
    <mergeCell ref="A230:T230"/>
    <mergeCell ref="H47:I47"/>
    <mergeCell ref="A48:B48"/>
    <mergeCell ref="A49:B51"/>
    <mergeCell ref="E49:E51"/>
    <mergeCell ref="F49:G51"/>
    <mergeCell ref="E52:E55"/>
    <mergeCell ref="F60:G60"/>
    <mergeCell ref="F53:G53"/>
    <mergeCell ref="F54:G54"/>
    <mergeCell ref="F55:G55"/>
    <mergeCell ref="A47:B47"/>
    <mergeCell ref="C47:D47"/>
    <mergeCell ref="E47:E48"/>
    <mergeCell ref="F47:G48"/>
    <mergeCell ref="G227:R227"/>
    <mergeCell ref="C207:N208"/>
    <mergeCell ref="L209:N222"/>
    <mergeCell ref="L224:N226"/>
    <mergeCell ref="F56:G56"/>
    <mergeCell ref="F61:G61"/>
    <mergeCell ref="E199:G199"/>
    <mergeCell ref="E200:G200"/>
    <mergeCell ref="F85:G85"/>
    <mergeCell ref="A228:B228"/>
    <mergeCell ref="L228:M228"/>
    <mergeCell ref="A229:B229"/>
    <mergeCell ref="L229:M229"/>
    <mergeCell ref="T203:T204"/>
    <mergeCell ref="D205:F205"/>
    <mergeCell ref="G205:N205"/>
    <mergeCell ref="O205:R205"/>
    <mergeCell ref="T205:T206"/>
    <mergeCell ref="L206:M206"/>
    <mergeCell ref="A227:B227"/>
    <mergeCell ref="A202:T202"/>
    <mergeCell ref="A203:B205"/>
    <mergeCell ref="C203:C205"/>
    <mergeCell ref="D203:D204"/>
    <mergeCell ref="E203:F204"/>
    <mergeCell ref="G203:N204"/>
    <mergeCell ref="O203:R204"/>
    <mergeCell ref="S203:S206"/>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8:G88"/>
    <mergeCell ref="F102:G102"/>
    <mergeCell ref="C43:E43"/>
    <mergeCell ref="C38:E38"/>
    <mergeCell ref="C34:E34"/>
    <mergeCell ref="C35:E35"/>
    <mergeCell ref="B45:F46"/>
    <mergeCell ref="F64:G64"/>
    <mergeCell ref="F76:G76"/>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89:L189"/>
    <mergeCell ref="J194:L194"/>
    <mergeCell ref="J52:L52"/>
    <mergeCell ref="J53:L53"/>
    <mergeCell ref="J54:L54"/>
    <mergeCell ref="J55:L55"/>
    <mergeCell ref="J56:L56"/>
    <mergeCell ref="J61:L61"/>
    <mergeCell ref="J64:L64"/>
    <mergeCell ref="J76:L76"/>
    <mergeCell ref="J85:L85"/>
    <mergeCell ref="J187:L187"/>
    <mergeCell ref="J188:L188"/>
    <mergeCell ref="J123:L123"/>
    <mergeCell ref="I5:J5"/>
    <mergeCell ref="A29:F29"/>
    <mergeCell ref="A17:B18"/>
    <mergeCell ref="C17:F17"/>
    <mergeCell ref="I4:J4"/>
    <mergeCell ref="I3:J3"/>
    <mergeCell ref="H2:J2"/>
    <mergeCell ref="J198:L198"/>
    <mergeCell ref="A195:B195"/>
    <mergeCell ref="H195:I195"/>
    <mergeCell ref="H196:I196"/>
    <mergeCell ref="H198:I198"/>
    <mergeCell ref="F194:G194"/>
    <mergeCell ref="F188:G188"/>
    <mergeCell ref="F187:G187"/>
    <mergeCell ref="J88:L88"/>
    <mergeCell ref="J102:L102"/>
    <mergeCell ref="J104:L104"/>
    <mergeCell ref="J108:L108"/>
    <mergeCell ref="J110:L110"/>
    <mergeCell ref="J122:L122"/>
    <mergeCell ref="J195:L195"/>
    <mergeCell ref="J196:L196"/>
    <mergeCell ref="J197:L197"/>
  </mergeCells>
  <phoneticPr fontId="33" type="noConversion"/>
  <pageMargins left="0.25" right="0.25" top="0.75" bottom="0.75" header="0.3" footer="0.3"/>
  <pageSetup paperSize="9" scale="2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2</xdr:col>
                    <xdr:colOff>3686175</xdr:colOff>
                    <xdr:row>17</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200025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87" t="s">
        <v>36</v>
      </c>
      <c r="B1" s="487"/>
      <c r="C1" s="487"/>
      <c r="D1" s="487"/>
      <c r="E1" s="487"/>
      <c r="F1" s="487"/>
    </row>
    <row r="2" spans="1:11" x14ac:dyDescent="0.2">
      <c r="A2" s="241" t="s">
        <v>37</v>
      </c>
      <c r="B2" s="241"/>
      <c r="C2" s="475"/>
      <c r="D2" s="475"/>
      <c r="E2" s="475"/>
      <c r="F2" s="475"/>
      <c r="H2" s="488" t="s">
        <v>86</v>
      </c>
      <c r="I2" s="489"/>
      <c r="J2" s="490"/>
    </row>
    <row r="3" spans="1:11" x14ac:dyDescent="0.2">
      <c r="A3" s="242" t="s">
        <v>38</v>
      </c>
      <c r="B3" s="293"/>
      <c r="C3" s="475"/>
      <c r="D3" s="475"/>
      <c r="E3" s="475"/>
      <c r="F3" s="475"/>
      <c r="H3" s="124"/>
      <c r="I3" s="491" t="s">
        <v>87</v>
      </c>
      <c r="J3" s="492"/>
      <c r="K3" s="141"/>
    </row>
    <row r="4" spans="1:11" x14ac:dyDescent="0.2">
      <c r="A4" s="241" t="s">
        <v>88</v>
      </c>
      <c r="B4" s="241"/>
      <c r="C4" s="475"/>
      <c r="D4" s="475"/>
      <c r="E4" s="475"/>
      <c r="F4" s="475"/>
      <c r="H4" s="142"/>
      <c r="I4" s="491" t="s">
        <v>89</v>
      </c>
      <c r="J4" s="492"/>
      <c r="K4" s="141"/>
    </row>
    <row r="5" spans="1:11" ht="22.5" customHeight="1" x14ac:dyDescent="0.2">
      <c r="A5" s="241" t="s">
        <v>40</v>
      </c>
      <c r="B5" s="241"/>
      <c r="C5" s="475"/>
      <c r="D5" s="475"/>
      <c r="E5" s="475"/>
      <c r="F5" s="475"/>
      <c r="H5" s="143"/>
      <c r="I5" s="470" t="s">
        <v>90</v>
      </c>
      <c r="J5" s="311"/>
    </row>
    <row r="6" spans="1:11" ht="14.25" x14ac:dyDescent="0.2">
      <c r="A6" s="241" t="s">
        <v>41</v>
      </c>
      <c r="B6" s="241"/>
      <c r="C6" s="475"/>
      <c r="D6" s="475"/>
      <c r="E6" s="475"/>
      <c r="F6" s="475"/>
    </row>
    <row r="7" spans="1:11" x14ac:dyDescent="0.2">
      <c r="A7"/>
      <c r="C7"/>
      <c r="D7"/>
      <c r="E7"/>
      <c r="F7"/>
    </row>
    <row r="8" spans="1:11" ht="21" customHeight="1" x14ac:dyDescent="0.2">
      <c r="A8" s="487" t="s">
        <v>91</v>
      </c>
      <c r="B8" s="487"/>
      <c r="C8" s="487"/>
      <c r="D8" s="487"/>
      <c r="E8" s="487"/>
      <c r="F8" s="487"/>
    </row>
    <row r="9" spans="1:11" s="42" customFormat="1" x14ac:dyDescent="0.2">
      <c r="A9" s="241" t="s">
        <v>42</v>
      </c>
      <c r="B9" s="241"/>
      <c r="C9" s="475"/>
      <c r="D9" s="475"/>
      <c r="E9" s="475"/>
      <c r="F9" s="475"/>
      <c r="G9" s="173"/>
      <c r="H9" s="173"/>
      <c r="I9" s="173"/>
      <c r="J9" s="173"/>
    </row>
    <row r="10" spans="1:11" s="42" customFormat="1" x14ac:dyDescent="0.2">
      <c r="A10" s="241" t="s">
        <v>92</v>
      </c>
      <c r="B10" s="241"/>
      <c r="C10" s="507"/>
      <c r="D10" s="507"/>
      <c r="E10" s="507"/>
      <c r="F10" s="507"/>
      <c r="G10" s="174"/>
      <c r="H10" s="173"/>
      <c r="I10" s="173"/>
      <c r="J10" s="173"/>
    </row>
    <row r="11" spans="1:11" x14ac:dyDescent="0.2">
      <c r="A11" s="103"/>
      <c r="B11" s="104" t="s">
        <v>93</v>
      </c>
      <c r="C11" s="503" t="s">
        <v>94</v>
      </c>
      <c r="D11" s="504"/>
      <c r="E11" s="504"/>
      <c r="F11" s="505"/>
      <c r="G11" s="167"/>
      <c r="H11" s="166"/>
      <c r="I11" s="166"/>
      <c r="J11" s="166"/>
    </row>
    <row r="12" spans="1:11" ht="64.5" customHeight="1" x14ac:dyDescent="0.2">
      <c r="A12" s="242" t="s">
        <v>95</v>
      </c>
      <c r="B12" s="293"/>
      <c r="C12" s="476" t="s">
        <v>96</v>
      </c>
      <c r="D12" s="477"/>
      <c r="E12" s="477"/>
      <c r="F12" s="478"/>
      <c r="G12" s="167"/>
      <c r="H12" s="166"/>
      <c r="I12" s="166"/>
      <c r="J12" s="166"/>
    </row>
    <row r="13" spans="1:11" ht="32.25" customHeight="1" x14ac:dyDescent="0.2">
      <c r="A13" s="241" t="s">
        <v>97</v>
      </c>
      <c r="B13" s="241"/>
      <c r="C13" s="474" t="s">
        <v>238</v>
      </c>
      <c r="D13" s="474"/>
      <c r="E13" s="474"/>
      <c r="F13" s="474"/>
      <c r="G13" s="168"/>
      <c r="H13" s="166"/>
      <c r="I13" s="166"/>
      <c r="J13" s="166"/>
    </row>
    <row r="14" spans="1:11" ht="32.25" customHeight="1" x14ac:dyDescent="0.2">
      <c r="A14" s="242" t="s">
        <v>98</v>
      </c>
      <c r="B14" s="293"/>
      <c r="C14" s="475" t="s">
        <v>99</v>
      </c>
      <c r="D14" s="475"/>
      <c r="E14" s="475"/>
      <c r="F14" s="475"/>
      <c r="G14" s="167"/>
      <c r="H14" s="167"/>
      <c r="I14" s="166"/>
      <c r="J14" s="166"/>
    </row>
    <row r="15" spans="1:11" ht="32.25" customHeight="1" x14ac:dyDescent="0.2">
      <c r="A15" s="284" t="s">
        <v>100</v>
      </c>
      <c r="B15" s="284"/>
      <c r="C15" s="474" t="s">
        <v>226</v>
      </c>
      <c r="D15" s="474"/>
      <c r="E15" s="474"/>
      <c r="F15" s="474"/>
      <c r="G15" s="168"/>
      <c r="H15" s="166"/>
      <c r="I15" s="166"/>
      <c r="J15" s="166"/>
    </row>
    <row r="16" spans="1:11" ht="37.15" customHeight="1" x14ac:dyDescent="0.2">
      <c r="A16" s="284" t="s">
        <v>227</v>
      </c>
      <c r="B16" s="284"/>
      <c r="C16" s="474"/>
      <c r="D16" s="474"/>
      <c r="E16" s="474"/>
      <c r="F16" s="474"/>
      <c r="G16" s="50"/>
    </row>
    <row r="17" spans="1:47" ht="37.15" customHeight="1" x14ac:dyDescent="0.2">
      <c r="A17" s="277" t="s">
        <v>103</v>
      </c>
      <c r="B17" s="278"/>
      <c r="C17" s="476" t="s">
        <v>104</v>
      </c>
      <c r="D17" s="477"/>
      <c r="E17" s="477"/>
      <c r="F17" s="478"/>
      <c r="G17" s="50"/>
    </row>
    <row r="18" spans="1:47" ht="37.15" customHeight="1" x14ac:dyDescent="0.2">
      <c r="A18" s="279"/>
      <c r="B18" s="280"/>
      <c r="C18" s="476" t="s">
        <v>105</v>
      </c>
      <c r="D18" s="477"/>
      <c r="E18" s="477"/>
      <c r="F18" s="478"/>
      <c r="G18" s="50"/>
    </row>
    <row r="19" spans="1:47" ht="37.15" customHeight="1" x14ac:dyDescent="0.2">
      <c r="A19" s="50"/>
      <c r="B19" s="50"/>
      <c r="C19" s="50"/>
      <c r="D19" s="50"/>
      <c r="E19" s="50"/>
      <c r="F19" s="50"/>
      <c r="G19" s="50"/>
    </row>
    <row r="20" spans="1:47" ht="29.25" customHeight="1" x14ac:dyDescent="0.2">
      <c r="A20" s="479" t="s">
        <v>239</v>
      </c>
      <c r="B20" s="480"/>
      <c r="C20" s="287" t="s">
        <v>240</v>
      </c>
      <c r="D20" s="287"/>
      <c r="E20" s="287"/>
      <c r="F20" s="57" t="s">
        <v>241</v>
      </c>
      <c r="G20" s="50"/>
    </row>
    <row r="21" spans="1:47" ht="37.15" customHeight="1" x14ac:dyDescent="0.2">
      <c r="A21" s="479"/>
      <c r="B21" s="480"/>
      <c r="C21" s="475" t="s">
        <v>242</v>
      </c>
      <c r="D21" s="475"/>
      <c r="E21" s="475"/>
      <c r="F21" s="40"/>
      <c r="G21" s="50"/>
    </row>
    <row r="22" spans="1:47" ht="37.15" customHeight="1" x14ac:dyDescent="0.2">
      <c r="A22" s="479"/>
      <c r="B22" s="480"/>
      <c r="C22" s="483"/>
      <c r="D22" s="483"/>
      <c r="E22" s="483"/>
      <c r="F22" s="40"/>
      <c r="G22" s="50"/>
    </row>
    <row r="23" spans="1:47" ht="37.15" customHeight="1" x14ac:dyDescent="0.2">
      <c r="A23" s="481"/>
      <c r="B23" s="482"/>
      <c r="C23" s="475"/>
      <c r="D23" s="475"/>
      <c r="E23" s="475"/>
      <c r="F23" s="40"/>
      <c r="G23" s="50"/>
    </row>
    <row r="24" spans="1:47" ht="32.25" customHeight="1" x14ac:dyDescent="0.2">
      <c r="A24" s="50"/>
      <c r="B24" s="50"/>
      <c r="C24" s="50"/>
      <c r="D24" s="50"/>
      <c r="E24" s="50"/>
      <c r="F24" s="50"/>
      <c r="G24" s="50"/>
    </row>
    <row r="25" spans="1:47" ht="32.25" customHeight="1" x14ac:dyDescent="0.2">
      <c r="A25" s="486" t="s">
        <v>243</v>
      </c>
      <c r="B25" s="486"/>
      <c r="C25" s="487"/>
      <c r="D25" s="487"/>
      <c r="E25" s="487"/>
      <c r="F25" s="487"/>
      <c r="G25" s="50"/>
    </row>
    <row r="26" spans="1:47" ht="32.25" customHeight="1" x14ac:dyDescent="0.2">
      <c r="A26" s="284" t="s">
        <v>244</v>
      </c>
      <c r="B26" s="284"/>
      <c r="C26" s="474" t="s">
        <v>226</v>
      </c>
      <c r="D26" s="474"/>
      <c r="E26" s="474"/>
      <c r="F26" s="474"/>
      <c r="G26" s="50"/>
    </row>
    <row r="27" spans="1:47" ht="32.25" customHeight="1" x14ac:dyDescent="0.2">
      <c r="A27" s="284" t="s">
        <v>245</v>
      </c>
      <c r="B27" s="284"/>
      <c r="C27" s="474" t="s">
        <v>226</v>
      </c>
      <c r="D27" s="474"/>
      <c r="E27" s="474"/>
      <c r="F27" s="474"/>
      <c r="G27" s="50"/>
    </row>
    <row r="28" spans="1:47" ht="32.25" customHeight="1" x14ac:dyDescent="0.2">
      <c r="A28" s="284" t="s">
        <v>246</v>
      </c>
      <c r="B28" s="284"/>
      <c r="C28" s="474" t="s">
        <v>226</v>
      </c>
      <c r="D28" s="474"/>
      <c r="E28" s="474"/>
      <c r="F28" s="474"/>
      <c r="G28" s="50"/>
    </row>
    <row r="29" spans="1:47" ht="32.25" customHeight="1" x14ac:dyDescent="0.2">
      <c r="A29" s="284" t="s">
        <v>247</v>
      </c>
      <c r="B29" s="284"/>
      <c r="C29" s="474" t="s">
        <v>226</v>
      </c>
      <c r="D29" s="474"/>
      <c r="E29" s="474"/>
      <c r="F29" s="474"/>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96"/>
      <c r="B31" s="496"/>
      <c r="C31" s="506"/>
      <c r="D31" s="506"/>
      <c r="E31" s="506"/>
      <c r="F31" s="506"/>
      <c r="G31" s="50"/>
    </row>
    <row r="32" spans="1:47" ht="40.15" customHeight="1" x14ac:dyDescent="0.2">
      <c r="A32" s="484" t="s">
        <v>248</v>
      </c>
      <c r="B32" s="479"/>
      <c r="C32" s="479"/>
      <c r="D32" s="479"/>
      <c r="E32" s="479"/>
      <c r="F32" s="479"/>
      <c r="G32" s="479"/>
      <c r="H32" s="479"/>
      <c r="I32" s="479"/>
    </row>
    <row r="33" spans="1:47" s="45" customFormat="1" ht="33.75" customHeight="1" x14ac:dyDescent="0.2">
      <c r="A33" s="294"/>
      <c r="B33" s="295"/>
      <c r="C33" s="135" t="s">
        <v>107</v>
      </c>
      <c r="D33" s="135" t="s">
        <v>108</v>
      </c>
      <c r="E33" s="135" t="s">
        <v>249</v>
      </c>
      <c r="F33" s="85" t="s">
        <v>110</v>
      </c>
      <c r="G33" s="85" t="s">
        <v>111</v>
      </c>
      <c r="H33" s="85" t="s">
        <v>112</v>
      </c>
      <c r="I33" s="85" t="s">
        <v>113</v>
      </c>
      <c r="J33"/>
      <c r="K33"/>
      <c r="L33"/>
      <c r="M33"/>
      <c r="N33"/>
      <c r="O33"/>
      <c r="P33"/>
    </row>
    <row r="34" spans="1:47" s="45" customFormat="1" ht="33.75" customHeight="1" x14ac:dyDescent="0.2">
      <c r="A34" s="289" t="s">
        <v>114</v>
      </c>
      <c r="B34" s="290"/>
      <c r="C34" s="111">
        <f>'Detailed planning stage'!C22</f>
        <v>6381927.6900000013</v>
      </c>
      <c r="D34" s="111">
        <f>'Detailed planning stage'!D22</f>
        <v>5989282.290000001</v>
      </c>
      <c r="E34" s="111">
        <f>'Detailed planning stage'!E22</f>
        <v>9982192.2800000012</v>
      </c>
      <c r="F34" s="111">
        <f>'Detailed planning stage'!F22</f>
        <v>3355227.7800000003</v>
      </c>
      <c r="G34" s="111">
        <f>'Detailed planning stage'!G22</f>
        <v>6105316.4616342504</v>
      </c>
      <c r="H34" s="111">
        <f>'Detailed planning stage'!H22</f>
        <v>2634054.5100000002</v>
      </c>
      <c r="I34" s="111">
        <f>'Detailed planning stage'!I22</f>
        <v>-4719730.75</v>
      </c>
      <c r="J34"/>
      <c r="K34"/>
      <c r="L34"/>
      <c r="M34"/>
      <c r="N34"/>
      <c r="O34"/>
      <c r="P34"/>
    </row>
    <row r="35" spans="1:47" ht="33.75" customHeight="1" x14ac:dyDescent="0.2">
      <c r="A35" s="289" t="s">
        <v>115</v>
      </c>
      <c r="B35" s="290"/>
      <c r="C35" s="112">
        <f>'Detailed planning stage'!C23</f>
        <v>538.46841798852529</v>
      </c>
      <c r="D35" s="112">
        <f>'Detailed planning stage'!D23</f>
        <v>505.33937647654415</v>
      </c>
      <c r="E35" s="112">
        <f>'Detailed planning stage'!E23</f>
        <v>842.23694566317931</v>
      </c>
      <c r="F35" s="112">
        <f>'Detailed planning stage'!F23</f>
        <v>283.09380526493419</v>
      </c>
      <c r="G35" s="112">
        <f>'Detailed planning stage'!G23</f>
        <v>515.1296373299233</v>
      </c>
      <c r="H35" s="112">
        <f>'Detailed planning stage'!H23</f>
        <v>222.24557121160987</v>
      </c>
      <c r="I35" s="112">
        <f>'Detailed planning stage'!I23</f>
        <v>-398.22230425244686</v>
      </c>
      <c r="Q35" s="56"/>
    </row>
    <row r="36" spans="1:47" s="51" customFormat="1" x14ac:dyDescent="0.2">
      <c r="A36" s="496"/>
      <c r="B36" s="496"/>
      <c r="C36" s="506"/>
      <c r="D36" s="506"/>
      <c r="E36" s="506"/>
      <c r="F36" s="506"/>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85" t="s">
        <v>250</v>
      </c>
      <c r="B38" s="481"/>
      <c r="C38" s="481"/>
      <c r="D38" s="481"/>
      <c r="E38" s="481"/>
      <c r="F38" s="481"/>
      <c r="G38" s="481"/>
      <c r="H38" s="481"/>
      <c r="I38" s="481"/>
      <c r="Q38" s="56"/>
    </row>
    <row r="39" spans="1:47" ht="33.75" customHeight="1" x14ac:dyDescent="0.2">
      <c r="A39" s="497"/>
      <c r="B39" s="498"/>
      <c r="C39" s="52" t="s">
        <v>251</v>
      </c>
      <c r="D39" s="135" t="s">
        <v>108</v>
      </c>
      <c r="E39" s="135" t="s">
        <v>249</v>
      </c>
      <c r="F39" s="52" t="s">
        <v>110</v>
      </c>
      <c r="G39" s="52" t="s">
        <v>111</v>
      </c>
      <c r="H39" s="52" t="s">
        <v>112</v>
      </c>
      <c r="I39" s="52" t="s">
        <v>113</v>
      </c>
      <c r="Q39" s="56"/>
    </row>
    <row r="40" spans="1:47" ht="35.65" customHeight="1" x14ac:dyDescent="0.2">
      <c r="A40" s="289" t="s">
        <v>114</v>
      </c>
      <c r="B40" s="290"/>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289" t="s">
        <v>115</v>
      </c>
      <c r="B41" s="290"/>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289" t="s">
        <v>116</v>
      </c>
      <c r="B42" s="290"/>
      <c r="C42" s="527"/>
      <c r="D42" s="528"/>
      <c r="E42" s="529"/>
      <c r="F42" s="422"/>
      <c r="G42" s="423"/>
      <c r="H42" s="423"/>
      <c r="I42" s="424"/>
      <c r="Q42" s="56"/>
    </row>
    <row r="43" spans="1:47" ht="37.9" customHeight="1" x14ac:dyDescent="0.2">
      <c r="A43" s="289" t="s">
        <v>230</v>
      </c>
      <c r="B43" s="290"/>
      <c r="C43" s="136" t="e">
        <f>VLOOKUP($C$42,'WLC benchmarks'!$B$10:$E$13,2, TRUE)</f>
        <v>#N/A</v>
      </c>
      <c r="D43" s="136" t="e">
        <f>VLOOKUP($C$42,'WLC benchmarks'!$B$10:$E$13,3, TRUE)</f>
        <v>#N/A</v>
      </c>
      <c r="E43" s="136" t="e">
        <f>VLOOKUP($C$42,'WLC benchmarks'!$B$10:$E$13,4, TRUE)</f>
        <v>#N/A</v>
      </c>
      <c r="F43" s="425"/>
      <c r="G43" s="426"/>
      <c r="H43" s="426"/>
      <c r="I43" s="427"/>
      <c r="Q43" s="56"/>
    </row>
    <row r="44" spans="1:47" ht="37.9" customHeight="1" x14ac:dyDescent="0.2">
      <c r="A44" s="289" t="s">
        <v>252</v>
      </c>
      <c r="B44" s="290"/>
      <c r="C44" s="137" t="e">
        <f>VLOOKUP($C$42,'WLC benchmarks'!$B$16:$E$19,2, TRUE)</f>
        <v>#N/A</v>
      </c>
      <c r="D44" s="137" t="e">
        <f>VLOOKUP($C$42,'WLC benchmarks'!$B$16:$E$19,3, TRUE)</f>
        <v>#N/A</v>
      </c>
      <c r="E44" s="137" t="e">
        <f>VLOOKUP($C$42,'WLC benchmarks'!$B$16:$E$19,4, TRUE)</f>
        <v>#N/A</v>
      </c>
      <c r="F44" s="428"/>
      <c r="G44" s="429"/>
      <c r="H44" s="429"/>
      <c r="I44" s="430"/>
      <c r="Q44" s="56"/>
    </row>
    <row r="45" spans="1:47" ht="47.25" customHeight="1" x14ac:dyDescent="0.2">
      <c r="A45" s="289" t="s">
        <v>253</v>
      </c>
      <c r="B45" s="290"/>
      <c r="C45" s="474" t="s">
        <v>254</v>
      </c>
      <c r="D45" s="474"/>
      <c r="E45" s="474"/>
      <c r="F45" s="474"/>
      <c r="G45" s="474"/>
      <c r="H45" s="474"/>
      <c r="I45" s="474"/>
      <c r="Q45" s="56"/>
    </row>
    <row r="46" spans="1:47" ht="84" customHeight="1" x14ac:dyDescent="0.2">
      <c r="A46" s="289" t="s">
        <v>255</v>
      </c>
      <c r="B46" s="290"/>
      <c r="C46" s="475" t="s">
        <v>121</v>
      </c>
      <c r="D46" s="475"/>
      <c r="E46" s="475"/>
      <c r="F46" s="475"/>
      <c r="G46" s="475"/>
      <c r="H46" s="475"/>
      <c r="I46" s="475"/>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71" t="s">
        <v>122</v>
      </c>
      <c r="B48" s="472"/>
      <c r="C48" s="472"/>
      <c r="D48" s="472"/>
      <c r="E48" s="472"/>
      <c r="F48" s="473"/>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84" t="s">
        <v>256</v>
      </c>
      <c r="B49" s="284"/>
      <c r="C49" s="474"/>
      <c r="D49" s="474"/>
      <c r="E49" s="474"/>
      <c r="F49" s="474"/>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84" t="s">
        <v>257</v>
      </c>
      <c r="B50" s="284"/>
      <c r="C50" s="475"/>
      <c r="D50" s="475"/>
      <c r="E50" s="475"/>
      <c r="F50" s="475"/>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84" t="s">
        <v>258</v>
      </c>
      <c r="B51" s="284"/>
      <c r="C51" s="475" t="s">
        <v>55</v>
      </c>
      <c r="D51" s="475"/>
      <c r="E51" s="475"/>
      <c r="F51" s="475"/>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79" t="s">
        <v>259</v>
      </c>
      <c r="B53" s="480"/>
      <c r="C53" s="287" t="s">
        <v>260</v>
      </c>
      <c r="D53" s="287"/>
      <c r="E53" s="287"/>
      <c r="F53" s="57" t="s">
        <v>261</v>
      </c>
      <c r="G53" s="50"/>
      <c r="H53" s="55"/>
      <c r="I53" s="55"/>
      <c r="J53" s="58"/>
      <c r="K53" s="58"/>
      <c r="L53" s="58"/>
      <c r="M53" s="58"/>
      <c r="N53" s="56"/>
      <c r="O53" s="56"/>
      <c r="P53" s="56"/>
      <c r="Q53" s="56"/>
    </row>
    <row r="54" spans="1:49" s="62" customFormat="1" x14ac:dyDescent="0.2">
      <c r="A54" s="479"/>
      <c r="B54" s="480"/>
      <c r="C54" s="475" t="s">
        <v>128</v>
      </c>
      <c r="D54" s="475"/>
      <c r="E54" s="475"/>
      <c r="F54" s="40"/>
      <c r="G54" s="50"/>
    </row>
    <row r="55" spans="1:49" s="45" customFormat="1" x14ac:dyDescent="0.2">
      <c r="A55" s="479"/>
      <c r="B55" s="480"/>
      <c r="C55" s="483"/>
      <c r="D55" s="483"/>
      <c r="E55" s="483"/>
      <c r="F55" s="40"/>
      <c r="G55" s="50"/>
    </row>
    <row r="56" spans="1:49" s="45" customFormat="1" ht="12.75" customHeight="1" x14ac:dyDescent="0.2">
      <c r="A56" s="481"/>
      <c r="B56" s="482"/>
      <c r="C56" s="475"/>
      <c r="D56" s="475"/>
      <c r="E56" s="475"/>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525" t="s">
        <v>262</v>
      </c>
      <c r="B58" s="526"/>
      <c r="C58" s="522" t="s">
        <v>263</v>
      </c>
      <c r="D58" s="523"/>
      <c r="E58" s="523"/>
      <c r="F58" s="524"/>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84"/>
      <c r="B59" s="480"/>
      <c r="C59" s="522" t="s">
        <v>264</v>
      </c>
      <c r="D59" s="523"/>
      <c r="E59" s="523"/>
      <c r="F59" s="524"/>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84"/>
      <c r="B60" s="480"/>
      <c r="C60" s="522"/>
      <c r="D60" s="523"/>
      <c r="E60" s="523"/>
      <c r="F60" s="524"/>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85"/>
      <c r="B61" s="482"/>
      <c r="C61" s="522"/>
      <c r="D61" s="523"/>
      <c r="E61" s="523"/>
      <c r="F61" s="52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501" t="s">
        <v>133</v>
      </c>
      <c r="B63" s="502"/>
      <c r="C63" s="255" t="s">
        <v>134</v>
      </c>
      <c r="D63" s="397"/>
      <c r="E63" s="259" t="s">
        <v>135</v>
      </c>
      <c r="F63" s="408" t="s">
        <v>136</v>
      </c>
      <c r="G63" s="409"/>
      <c r="H63" s="255" t="s">
        <v>137</v>
      </c>
      <c r="I63" s="256"/>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94" t="s">
        <v>138</v>
      </c>
      <c r="B64" s="495"/>
      <c r="C64" s="63" t="s">
        <v>139</v>
      </c>
      <c r="D64" s="63" t="s">
        <v>140</v>
      </c>
      <c r="E64" s="260"/>
      <c r="F64" s="410"/>
      <c r="G64" s="411"/>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512" t="s">
        <v>143</v>
      </c>
      <c r="B65" s="513"/>
      <c r="C65" s="64" t="s">
        <v>144</v>
      </c>
      <c r="D65" s="87" t="s">
        <v>145</v>
      </c>
      <c r="E65" s="405" t="s">
        <v>146</v>
      </c>
      <c r="F65" s="390" t="s">
        <v>147</v>
      </c>
      <c r="G65" s="391"/>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514"/>
      <c r="B66" s="515"/>
      <c r="C66" s="66" t="s">
        <v>150</v>
      </c>
      <c r="D66" s="87" t="s">
        <v>151</v>
      </c>
      <c r="E66" s="406"/>
      <c r="F66" s="261"/>
      <c r="G66" s="392"/>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514"/>
      <c r="B67" s="515"/>
      <c r="C67" s="66" t="s">
        <v>154</v>
      </c>
      <c r="D67" s="88" t="s">
        <v>155</v>
      </c>
      <c r="E67" s="407"/>
      <c r="F67" s="393"/>
      <c r="G67" s="394"/>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269"/>
      <c r="F68" s="499"/>
      <c r="G68" s="500"/>
      <c r="H68" s="17"/>
      <c r="I68" s="17"/>
      <c r="J68" s="261" t="s">
        <v>157</v>
      </c>
      <c r="K68" s="262"/>
      <c r="L68" s="262"/>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270"/>
      <c r="F69" s="499"/>
      <c r="G69" s="500"/>
      <c r="H69" s="17"/>
      <c r="I69" s="17"/>
      <c r="J69" s="261"/>
      <c r="K69" s="262"/>
      <c r="L69" s="262"/>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270"/>
      <c r="F70" s="499"/>
      <c r="G70" s="500"/>
      <c r="H70" s="17"/>
      <c r="I70" s="17"/>
      <c r="J70" s="261"/>
      <c r="K70" s="262"/>
      <c r="L70" s="262"/>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271"/>
      <c r="F71" s="499"/>
      <c r="G71" s="500"/>
      <c r="H71" s="17"/>
      <c r="I71" s="17"/>
      <c r="J71" s="261"/>
      <c r="K71" s="262"/>
      <c r="L71" s="262"/>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99"/>
      <c r="G72" s="500"/>
      <c r="H72" s="17"/>
      <c r="I72" s="17"/>
      <c r="J72" s="261"/>
      <c r="K72" s="262"/>
      <c r="L72" s="262"/>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99"/>
      <c r="G73" s="500"/>
      <c r="H73" s="17"/>
      <c r="I73" s="17"/>
      <c r="J73" s="261"/>
      <c r="K73" s="262"/>
      <c r="L73" s="262"/>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99"/>
      <c r="G74" s="500"/>
      <c r="H74" s="17"/>
      <c r="I74" s="17"/>
      <c r="J74" s="261"/>
      <c r="K74" s="262"/>
      <c r="L74" s="262"/>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99"/>
      <c r="G75" s="500"/>
      <c r="H75" s="17"/>
      <c r="I75" s="17"/>
      <c r="J75" s="261"/>
      <c r="K75" s="262"/>
      <c r="L75" s="262"/>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99"/>
      <c r="G76" s="500"/>
      <c r="H76" s="17"/>
      <c r="I76" s="17"/>
      <c r="J76" s="261"/>
      <c r="K76" s="262"/>
      <c r="L76" s="262"/>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99"/>
      <c r="G77" s="500"/>
      <c r="H77" s="17"/>
      <c r="I77" s="17"/>
      <c r="J77" s="261"/>
      <c r="K77" s="262"/>
      <c r="L77" s="262"/>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99"/>
      <c r="G78" s="500"/>
      <c r="H78" s="17"/>
      <c r="I78" s="17"/>
      <c r="J78" s="261"/>
      <c r="K78" s="262"/>
      <c r="L78" s="262"/>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99"/>
      <c r="G79" s="500"/>
      <c r="H79" s="17"/>
      <c r="I79" s="17"/>
      <c r="J79" s="261"/>
      <c r="K79" s="262"/>
      <c r="L79" s="262"/>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99"/>
      <c r="G80" s="500"/>
      <c r="H80" s="17"/>
      <c r="I80" s="17"/>
      <c r="J80" s="261"/>
      <c r="K80" s="262"/>
      <c r="L80" s="262"/>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99"/>
      <c r="G81" s="500"/>
      <c r="H81" s="17"/>
      <c r="I81" s="17"/>
      <c r="J81" s="261"/>
      <c r="K81" s="262"/>
      <c r="L81" s="262"/>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99"/>
      <c r="G82" s="500"/>
      <c r="H82" s="17"/>
      <c r="I82" s="17"/>
      <c r="J82" s="261"/>
      <c r="K82" s="262"/>
      <c r="L82" s="262"/>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99"/>
      <c r="G83" s="500"/>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99"/>
      <c r="G84" s="500"/>
      <c r="H84" s="17"/>
      <c r="I84" s="17"/>
      <c r="J84" s="261"/>
      <c r="K84" s="262"/>
      <c r="L84" s="262"/>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99"/>
      <c r="G85" s="500"/>
      <c r="H85" s="17"/>
      <c r="I85" s="17"/>
      <c r="J85" s="261"/>
      <c r="K85" s="262"/>
      <c r="L85" s="262"/>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5"/>
      <c r="F86" s="499"/>
      <c r="G86" s="500"/>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510"/>
      <c r="G87" s="511"/>
      <c r="H87" s="18"/>
      <c r="I87" s="18"/>
      <c r="J87" s="261"/>
      <c r="K87" s="262"/>
      <c r="L87" s="262"/>
      <c r="M87"/>
      <c r="N87"/>
      <c r="O87"/>
      <c r="P87"/>
      <c r="Q87"/>
      <c r="R87"/>
      <c r="S87"/>
      <c r="T87"/>
      <c r="U87"/>
      <c r="V87"/>
      <c r="W87"/>
      <c r="X87"/>
      <c r="Y87"/>
      <c r="Z87"/>
      <c r="AA87"/>
      <c r="AB87"/>
      <c r="AC87"/>
      <c r="AD87"/>
      <c r="AE87"/>
      <c r="AF87"/>
      <c r="AG87"/>
      <c r="AH87"/>
      <c r="AI87"/>
      <c r="AJ87"/>
    </row>
    <row r="88" spans="1:47" s="75" customFormat="1" ht="31.5" customHeight="1" x14ac:dyDescent="0.2">
      <c r="A88" s="494" t="s">
        <v>176</v>
      </c>
      <c r="B88" s="495"/>
      <c r="C88" s="63" t="s">
        <v>177</v>
      </c>
      <c r="D88" s="63" t="s">
        <v>233</v>
      </c>
      <c r="E88" s="159" t="s">
        <v>234</v>
      </c>
      <c r="F88" s="177" t="s">
        <v>180</v>
      </c>
      <c r="G88" s="178" t="s">
        <v>181</v>
      </c>
      <c r="H88" s="493"/>
      <c r="I88" s="493"/>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0"/>
      <c r="G89" s="171"/>
      <c r="H89" s="493"/>
      <c r="I89" s="493"/>
      <c r="J89" s="264" t="s">
        <v>184</v>
      </c>
      <c r="K89" s="264"/>
      <c r="L89" s="264"/>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8"/>
      <c r="G90" s="172"/>
      <c r="H90" s="468"/>
      <c r="I90" s="469"/>
      <c r="J90" s="262"/>
      <c r="K90" s="262"/>
      <c r="L90" s="262"/>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8"/>
      <c r="G91" s="172"/>
      <c r="H91" s="493"/>
      <c r="I91" s="493"/>
      <c r="J91" s="262"/>
      <c r="K91" s="262"/>
      <c r="L91" s="262"/>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0" t="s">
        <v>189</v>
      </c>
      <c r="D92" s="131">
        <f>SUM(D68:D87)+SUM(D89:D91)</f>
        <v>0</v>
      </c>
      <c r="E92" s="463"/>
      <c r="F92" s="463"/>
      <c r="G92" s="463"/>
      <c r="H92" s="126">
        <f>SUM(H68:H87)</f>
        <v>0</v>
      </c>
      <c r="I92" s="126">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8" t="s">
        <v>190</v>
      </c>
      <c r="D93" s="129" t="e">
        <f>D92/$C$6</f>
        <v>#DIV/0!</v>
      </c>
      <c r="E93" s="464"/>
      <c r="F93" s="464"/>
      <c r="G93" s="464"/>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516" t="s">
        <v>265</v>
      </c>
      <c r="B96" s="517"/>
      <c r="C96" s="330" t="s">
        <v>236</v>
      </c>
      <c r="D96" s="330" t="s">
        <v>193</v>
      </c>
      <c r="E96" s="332" t="s">
        <v>194</v>
      </c>
      <c r="F96" s="333"/>
      <c r="G96" s="336" t="s">
        <v>195</v>
      </c>
      <c r="H96" s="336"/>
      <c r="I96" s="336"/>
      <c r="J96" s="336"/>
      <c r="K96" s="336"/>
      <c r="L96" s="336"/>
      <c r="M96" s="336"/>
      <c r="N96" s="333"/>
      <c r="O96" s="332" t="s">
        <v>196</v>
      </c>
      <c r="P96" s="336"/>
      <c r="Q96" s="336"/>
      <c r="R96" s="333"/>
      <c r="S96" s="438" t="s">
        <v>197</v>
      </c>
      <c r="T96" s="330" t="s">
        <v>198</v>
      </c>
    </row>
    <row r="97" spans="1:20" ht="27" customHeight="1" x14ac:dyDescent="0.2">
      <c r="A97" s="518"/>
      <c r="B97" s="519"/>
      <c r="C97" s="509"/>
      <c r="D97" s="331"/>
      <c r="E97" s="334"/>
      <c r="F97" s="335"/>
      <c r="G97" s="337"/>
      <c r="H97" s="337"/>
      <c r="I97" s="337"/>
      <c r="J97" s="337"/>
      <c r="K97" s="337"/>
      <c r="L97" s="337"/>
      <c r="M97" s="337"/>
      <c r="N97" s="335"/>
      <c r="O97" s="334"/>
      <c r="P97" s="337"/>
      <c r="Q97" s="337"/>
      <c r="R97" s="335"/>
      <c r="S97" s="439"/>
      <c r="T97" s="331"/>
    </row>
    <row r="98" spans="1:20" ht="27" customHeight="1" x14ac:dyDescent="0.2">
      <c r="A98" s="520"/>
      <c r="B98" s="521"/>
      <c r="C98" s="509"/>
      <c r="D98" s="377" t="s">
        <v>199</v>
      </c>
      <c r="E98" s="378"/>
      <c r="F98" s="379"/>
      <c r="G98" s="377" t="s">
        <v>200</v>
      </c>
      <c r="H98" s="378"/>
      <c r="I98" s="378"/>
      <c r="J98" s="378"/>
      <c r="K98" s="378"/>
      <c r="L98" s="378"/>
      <c r="M98" s="378"/>
      <c r="N98" s="379"/>
      <c r="O98" s="377" t="s">
        <v>201</v>
      </c>
      <c r="P98" s="378"/>
      <c r="Q98" s="378"/>
      <c r="R98" s="379"/>
      <c r="S98" s="439"/>
      <c r="T98" s="330" t="s">
        <v>113</v>
      </c>
    </row>
    <row r="99" spans="1:20" ht="27" customHeight="1" x14ac:dyDescent="0.2">
      <c r="A99" s="76" t="s">
        <v>138</v>
      </c>
      <c r="B99" s="77"/>
      <c r="C99" s="331"/>
      <c r="D99" s="78" t="s">
        <v>202</v>
      </c>
      <c r="E99" s="78" t="s">
        <v>203</v>
      </c>
      <c r="F99" s="78" t="s">
        <v>204</v>
      </c>
      <c r="G99" s="78" t="s">
        <v>205</v>
      </c>
      <c r="H99" s="78" t="s">
        <v>206</v>
      </c>
      <c r="I99" s="78" t="s">
        <v>207</v>
      </c>
      <c r="J99" s="78" t="s">
        <v>208</v>
      </c>
      <c r="K99" s="78" t="s">
        <v>209</v>
      </c>
      <c r="L99" s="377" t="s">
        <v>210</v>
      </c>
      <c r="M99" s="379"/>
      <c r="N99" s="78" t="s">
        <v>211</v>
      </c>
      <c r="O99" s="78" t="s">
        <v>212</v>
      </c>
      <c r="P99" s="78" t="s">
        <v>213</v>
      </c>
      <c r="Q99" s="78" t="s">
        <v>214</v>
      </c>
      <c r="R99" s="78" t="s">
        <v>215</v>
      </c>
      <c r="S99" s="440"/>
      <c r="T99" s="331"/>
    </row>
    <row r="100" spans="1:20" ht="30" customHeight="1" x14ac:dyDescent="0.2">
      <c r="A100" s="79">
        <v>0.1</v>
      </c>
      <c r="B100" s="71" t="s">
        <v>156</v>
      </c>
      <c r="C100" s="450"/>
      <c r="D100" s="451"/>
      <c r="E100" s="451"/>
      <c r="F100" s="451"/>
      <c r="G100" s="451"/>
      <c r="H100" s="451"/>
      <c r="I100" s="451"/>
      <c r="J100" s="451"/>
      <c r="K100" s="451"/>
      <c r="L100" s="451"/>
      <c r="M100" s="451"/>
      <c r="N100" s="452"/>
      <c r="O100" s="33" t="s">
        <v>216</v>
      </c>
      <c r="P100" s="33"/>
      <c r="Q100" s="33"/>
      <c r="R100" s="33"/>
      <c r="S100" s="117">
        <f>SUM(C100:R100)</f>
        <v>0</v>
      </c>
      <c r="T100" s="36"/>
    </row>
    <row r="101" spans="1:20" ht="30" customHeight="1" x14ac:dyDescent="0.2">
      <c r="A101" s="70">
        <v>0.2</v>
      </c>
      <c r="B101" s="71" t="s">
        <v>158</v>
      </c>
      <c r="C101" s="343"/>
      <c r="D101" s="344"/>
      <c r="E101" s="344"/>
      <c r="F101" s="344"/>
      <c r="G101" s="344"/>
      <c r="H101" s="344"/>
      <c r="I101" s="344"/>
      <c r="J101" s="344"/>
      <c r="K101" s="344"/>
      <c r="L101" s="344"/>
      <c r="M101" s="344"/>
      <c r="N101" s="345"/>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450"/>
      <c r="M102" s="451"/>
      <c r="N102" s="452"/>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40"/>
      <c r="M103" s="341"/>
      <c r="N103" s="342"/>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40"/>
      <c r="M104" s="341"/>
      <c r="N104" s="342"/>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40"/>
      <c r="M105" s="341"/>
      <c r="N105" s="342"/>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40"/>
      <c r="M106" s="341"/>
      <c r="N106" s="342"/>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40"/>
      <c r="M107" s="341"/>
      <c r="N107" s="342"/>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40"/>
      <c r="M108" s="341"/>
      <c r="N108" s="342"/>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40"/>
      <c r="M109" s="341"/>
      <c r="N109" s="342"/>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40"/>
      <c r="M110" s="341"/>
      <c r="N110" s="342"/>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40"/>
      <c r="M111" s="341"/>
      <c r="N111" s="342"/>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40"/>
      <c r="M112" s="341"/>
      <c r="N112" s="342"/>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40"/>
      <c r="M113" s="341"/>
      <c r="N113" s="342"/>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40"/>
      <c r="M114" s="341"/>
      <c r="N114" s="342"/>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43"/>
      <c r="M115" s="344"/>
      <c r="N115" s="345"/>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450"/>
      <c r="M117" s="451"/>
      <c r="N117" s="452"/>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40"/>
      <c r="M118" s="341"/>
      <c r="N118" s="342"/>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43"/>
      <c r="M119" s="344"/>
      <c r="N119" s="345"/>
      <c r="O119" s="33" t="s">
        <v>216</v>
      </c>
      <c r="P119" s="33"/>
      <c r="Q119" s="33"/>
      <c r="R119" s="33"/>
      <c r="S119" s="117">
        <f t="shared" si="1"/>
        <v>0</v>
      </c>
      <c r="T119" s="30"/>
    </row>
    <row r="120" spans="1:20" ht="30" customHeight="1" x14ac:dyDescent="0.2">
      <c r="A120" s="322" t="s">
        <v>222</v>
      </c>
      <c r="B120" s="323"/>
      <c r="C120" s="319"/>
      <c r="D120" s="320"/>
      <c r="E120" s="321"/>
      <c r="F120" s="32"/>
      <c r="G120" s="368"/>
      <c r="H120" s="369"/>
      <c r="I120" s="369"/>
      <c r="J120" s="369"/>
      <c r="K120" s="369"/>
      <c r="L120" s="369"/>
      <c r="M120" s="369"/>
      <c r="N120" s="369"/>
      <c r="O120" s="369"/>
      <c r="P120" s="369"/>
      <c r="Q120" s="369"/>
      <c r="R120" s="370"/>
      <c r="S120" s="117">
        <f>F120</f>
        <v>0</v>
      </c>
      <c r="T120" s="134"/>
    </row>
    <row r="121" spans="1:20" ht="18" customHeight="1" x14ac:dyDescent="0.2">
      <c r="A121" s="289" t="s">
        <v>114</v>
      </c>
      <c r="B121" s="290"/>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44" t="e">
        <f>L116+M116</f>
        <v>#VALUE!</v>
      </c>
      <c r="M121" s="445"/>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289" t="s">
        <v>237</v>
      </c>
      <c r="B122" s="290"/>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46" t="e">
        <f>L121/$C$6</f>
        <v>#VALUE!</v>
      </c>
      <c r="M122" s="447"/>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508"/>
      <c r="R124" s="508"/>
      <c r="S124" s="508"/>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B10" sqref="B10"/>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8"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8" t="s">
        <v>271</v>
      </c>
      <c r="C9" s="138" t="s">
        <v>272</v>
      </c>
      <c r="D9" s="138" t="s">
        <v>273</v>
      </c>
      <c r="E9" s="138" t="s">
        <v>274</v>
      </c>
    </row>
    <row r="10" spans="2:5" x14ac:dyDescent="0.2">
      <c r="B10" s="139" t="s">
        <v>268</v>
      </c>
      <c r="C10" s="82" t="s">
        <v>275</v>
      </c>
      <c r="D10" s="82" t="s">
        <v>276</v>
      </c>
      <c r="E10" s="82" t="s">
        <v>277</v>
      </c>
    </row>
    <row r="11" spans="2:5" x14ac:dyDescent="0.2">
      <c r="B11" s="139" t="s">
        <v>117</v>
      </c>
      <c r="C11" s="82" t="s">
        <v>278</v>
      </c>
      <c r="D11" s="82" t="s">
        <v>279</v>
      </c>
      <c r="E11" s="82" t="s">
        <v>280</v>
      </c>
    </row>
    <row r="12" spans="2:5" x14ac:dyDescent="0.2">
      <c r="B12" s="139" t="s">
        <v>269</v>
      </c>
      <c r="C12" s="82" t="s">
        <v>281</v>
      </c>
      <c r="D12" s="82" t="s">
        <v>282</v>
      </c>
      <c r="E12" s="82" t="s">
        <v>283</v>
      </c>
    </row>
    <row r="13" spans="2:5" x14ac:dyDescent="0.2">
      <c r="B13" s="139" t="s">
        <v>270</v>
      </c>
      <c r="C13" s="82" t="s">
        <v>278</v>
      </c>
      <c r="D13" s="82" t="s">
        <v>284</v>
      </c>
      <c r="E13" s="82" t="s">
        <v>285</v>
      </c>
    </row>
    <row r="15" spans="2:5" ht="25.5" x14ac:dyDescent="0.2">
      <c r="B15" s="140" t="s">
        <v>286</v>
      </c>
      <c r="C15" s="138" t="s">
        <v>272</v>
      </c>
      <c r="D15" s="138" t="s">
        <v>273</v>
      </c>
      <c r="E15" s="138" t="s">
        <v>274</v>
      </c>
    </row>
    <row r="16" spans="2:5" x14ac:dyDescent="0.2">
      <c r="B16" s="139" t="s">
        <v>268</v>
      </c>
      <c r="C16" s="82" t="s">
        <v>287</v>
      </c>
      <c r="D16" s="82" t="s">
        <v>288</v>
      </c>
      <c r="E16" s="82" t="s">
        <v>289</v>
      </c>
    </row>
    <row r="17" spans="2:5" x14ac:dyDescent="0.2">
      <c r="B17" s="139" t="s">
        <v>117</v>
      </c>
      <c r="C17" s="82" t="s">
        <v>290</v>
      </c>
      <c r="D17" s="82" t="s">
        <v>291</v>
      </c>
      <c r="E17" s="82" t="s">
        <v>292</v>
      </c>
    </row>
    <row r="18" spans="2:5" x14ac:dyDescent="0.2">
      <c r="B18" s="139" t="s">
        <v>269</v>
      </c>
      <c r="C18" s="82" t="s">
        <v>290</v>
      </c>
      <c r="D18" s="82" t="s">
        <v>293</v>
      </c>
      <c r="E18" s="82" t="s">
        <v>294</v>
      </c>
    </row>
    <row r="19" spans="2:5" x14ac:dyDescent="0.2">
      <c r="B19" s="139"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purl.org/dc/elements/1.1/"/>
    <ds:schemaRef ds:uri="http://purl.org/dc/dcmitype/"/>
    <ds:schemaRef ds:uri="http://www.w3.org/XML/1998/namespace"/>
    <ds:schemaRef ds:uri="f00edf45-8ffb-4664-bfad-c4a8e160054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4b1100c3-bedc-44e4-b2e4-76ad79ae81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Updates</vt:lpstr>
      <vt:lpstr>Introduction</vt:lpstr>
      <vt:lpstr>Pre-app information</vt:lpstr>
      <vt:lpstr>Outline planning stage</vt:lpstr>
      <vt:lpstr>Detailed planning stage</vt:lpstr>
      <vt:lpstr>Post-construction result</vt:lpstr>
      <vt:lpstr>WLC benchmarks</vt:lpstr>
      <vt:lpstr>'Detailed planning stage'!Print_Area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Alan Calcott (CarbonPlan)</cp:lastModifiedBy>
  <cp:revision/>
  <cp:lastPrinted>2024-02-29T10:29:19Z</cp:lastPrinted>
  <dcterms:created xsi:type="dcterms:W3CDTF">2019-12-17T10:05:05Z</dcterms:created>
  <dcterms:modified xsi:type="dcterms:W3CDTF">2024-10-22T09:00:27Z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