
<file path=[Content_Types].xml><?xml version="1.0" encoding="utf-8"?>
<Types xmlns="http://schemas.openxmlformats.org/package/2006/content-types">
  <Default Extension="xml" ContentType="application/xml"/>
  <Default Extension="rels" ContentType="application/vnd.openxmlformats-package.relationships+xml"/>
  <Default Extension="jpeg" ContentType="image/jpg"/>
  <Default Extension="png" ContentType="image/png"/>
  <Default Extension="bmp" ContentType="image/bmp"/>
  <Default Extension="gif" ContentType="image/gif"/>
  <Default Extension="tif" ContentType="image/tif"/>
  <Default Extension="pdf" ContentType="application/pdf"/>
  <Default Extension="mov" ContentType="application/movie"/>
  <Default Extension="vml" ContentType="application/vnd.openxmlformats-officedocument.vmlDrawing"/>
  <Default Extension="xlsx" ContentType="application/vnd.openxmlformats-officedocument.spreadsheetml.sheet"/>
  <Override PartName="/docProps/core.xml" ContentType="application/vnd.openxmlformats-package.core-properties+xml"/>
  <Override PartName="/docProps/app.xml" ContentType="application/vnd.openxmlformats-officedocument.extended-properties+xml"/>
  <Override PartName="/xl/workbook.xml" ContentType="application/vnd.openxmlformats-officedocument.spreadsheetml.sheet.main+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media/image1.jpeg" ContentType="image/jpeg"/>
  <Override PartName="/xl/media/image2.jpeg" ContentType="image/jpeg"/>
  <Override PartName="/xl/drawings/drawing3.xml" ContentType="application/vnd.openxmlformats-officedocument.drawing+xml"/>
  <Override PartName="/xl/charts/chart1.xml" ContentType="application/vnd.openxmlformats-officedocument.drawingml.chart+xml"/>
</Types>
</file>

<file path=_rels/.rels><?xml version="1.0" encoding="UTF-8"?>
<Relationships xmlns="http://schemas.openxmlformats.org/package/2006/relationships"><Relationship Id="rId1" Type="http://schemas.openxmlformats.org/package/2006/relationships/metadata/core-properties" Target="docProps/core.xml"/><Relationship Id="rId2" Type="http://schemas.openxmlformats.org/officeDocument/2006/relationships/extended-properties" Target="docProps/app.xml"/><Relationship Id="rId3" Type="http://schemas.openxmlformats.org/officeDocument/2006/relationships/officeDocument" Target="xl/workbook.xml"/></Relationships>

</file>

<file path=xl/workbook.xml><?xml version="1.0" encoding="utf-8"?>
<workbook xmlns:r="http://schemas.openxmlformats.org/officeDocument/2006/relationships" xmlns="http://schemas.openxmlformats.org/spreadsheetml/2006/main">
  <bookViews>
    <workbookView xWindow="0" yWindow="40" windowWidth="15960" windowHeight="18080"/>
  </bookViews>
  <sheets>
    <sheet name="Export Summary" sheetId="1" r:id="rId4"/>
    <sheet name="1. Introduction" sheetId="2" r:id="rId5"/>
    <sheet name="2. Site Details" sheetId="3" r:id="rId6"/>
    <sheet name="3. Desktop Assessment" sheetId="4" r:id="rId7"/>
    <sheet name="4. Supporting Information" sheetId="5" r:id="rId8"/>
    <sheet name="5. Area Habitats" sheetId="6" r:id="rId9"/>
    <sheet name="6. Hedges &amp; Lines of Trees" sheetId="7" r:id="rId10"/>
    <sheet name="7. Watercourses" sheetId="8" r:id="rId11"/>
    <sheet name="8. Headline Results" sheetId="9" r:id="rId12"/>
    <sheet name="9. All Habitats + Multipliers" sheetId="10" r:id="rId13"/>
    <sheet name="10. Condition and Temporal" sheetId="11" r:id="rId14"/>
    <sheet name="11. Lists" sheetId="12" r:id="rId15"/>
    <sheet name="12. Version history" sheetId="13" r:id="rId16"/>
    <sheet name="13. Habitats Translation" sheetId="14" r:id="rId17"/>
  </sheets>
</workbook>
</file>

<file path=xl/sharedStrings.xml><?xml version="1.0" encoding="utf-8"?>
<sst xmlns="http://schemas.openxmlformats.org/spreadsheetml/2006/main" uniqueCount="1113">
  <si>
    <t>This document was exported from Numbers. Each table was converted to an Excel worksheet. All other objects on each Numbers sheet were placed on separate worksheets. Please be aware that formula calculations may differ in Excel.</t>
  </si>
  <si>
    <t>Numbers Sheet Name</t>
  </si>
  <si>
    <t>Numbers Table Name</t>
  </si>
  <si>
    <t>Excel Worksheet Name</t>
  </si>
  <si>
    <t>1. Introduction</t>
  </si>
  <si>
    <t>Table 1</t>
  </si>
  <si>
    <t>created by Sam Arthur @ FPCR</t>
  </si>
  <si>
    <t xml:space="preserve">Small Sites Metric 
(The Statutory Biodiversity Metric) 
</t>
  </si>
  <si>
    <t>Version 1.2.2 Release Date:</t>
  </si>
  <si>
    <t>July 2024</t>
  </si>
  <si>
    <t>Cell style conventions</t>
  </si>
  <si>
    <t>Enter data</t>
  </si>
  <si>
    <t>Automated equation</t>
  </si>
  <si>
    <t>Result</t>
  </si>
  <si>
    <t>Title cell</t>
  </si>
  <si>
    <t>Title cell alt colour</t>
  </si>
  <si>
    <t>▲</t>
  </si>
  <si>
    <t>Error</t>
  </si>
  <si>
    <t>⚠</t>
  </si>
  <si>
    <t>Attention required</t>
  </si>
  <si>
    <r>
      <rPr>
        <b val="1"/>
        <sz val="11"/>
        <color indexed="8"/>
        <rFont val="Calibri"/>
      </rPr>
      <t xml:space="preserve">Technical Requirements - Excel Versions: </t>
    </r>
    <r>
      <rPr>
        <sz val="11"/>
        <color indexed="8"/>
        <rFont val="Calibri"/>
      </rPr>
      <t>2010, 2013, 2016, 2019, Office 365, Excel for Android</t>
    </r>
  </si>
  <si>
    <t xml:space="preserve">Use of this cell is not required </t>
  </si>
  <si>
    <t>2. Site Details</t>
  </si>
  <si>
    <t>Sheet Name</t>
  </si>
  <si>
    <t>Site Details</t>
  </si>
  <si>
    <t>1. Planning authority:</t>
  </si>
  <si>
    <t>LB of Camden</t>
  </si>
  <si>
    <t>2. Site name:</t>
  </si>
  <si>
    <t>10 Pratt Mews</t>
  </si>
  <si>
    <t>3. Applicant:</t>
  </si>
  <si>
    <t>Terry Glynn</t>
  </si>
  <si>
    <t>4. Planning application type:</t>
  </si>
  <si>
    <t>Full planning consent</t>
  </si>
  <si>
    <t>5. Planning application reference:</t>
  </si>
  <si>
    <t>6. Metric completed by (name &amp; job title):</t>
  </si>
  <si>
    <t>Oliver Lewis CBE (Founder and CEO)</t>
  </si>
  <si>
    <t>7. Date of metric completion:</t>
  </si>
  <si>
    <t>02/10/2024</t>
  </si>
  <si>
    <t>8. Revision number:</t>
  </si>
  <si>
    <t>9. Masterplan document title / drawing number:</t>
  </si>
  <si>
    <t>Net Gain Targets</t>
  </si>
  <si>
    <t>10. Targeted % increase in Units</t>
  </si>
  <si>
    <t>10a. Habitat</t>
  </si>
  <si>
    <t>10b. Hedgerow</t>
  </si>
  <si>
    <t>10c. Watercourses</t>
  </si>
  <si>
    <t xml:space="preserve">11. Optional target increase in units if baseline value is zero </t>
  </si>
  <si>
    <t>11a. Habitat units</t>
  </si>
  <si>
    <t>11b. Hedgerow units</t>
  </si>
  <si>
    <t>11c. Watercourse units</t>
  </si>
  <si>
    <t>For planning authority use only</t>
  </si>
  <si>
    <t>12. Planning authority reviewer:</t>
  </si>
  <si>
    <t>13. Date of planning authority review:</t>
  </si>
  <si>
    <t>3. Desktop Assessment</t>
  </si>
  <si>
    <t>Site Name:</t>
  </si>
  <si>
    <r>
      <rPr>
        <b val="1"/>
        <sz val="14"/>
        <color indexed="15"/>
        <rFont val="Calibri"/>
      </rPr>
      <t>10 Pratt Mews</t>
    </r>
  </si>
  <si>
    <t>Desktop Assessment</t>
  </si>
  <si>
    <t>Development</t>
  </si>
  <si>
    <t>14. Select the type of proposed development.
If Other provide details at Q.25 below</t>
  </si>
  <si>
    <t>Commercial</t>
  </si>
  <si>
    <t>Site area must be less than 10,000 m2</t>
  </si>
  <si>
    <r>
      <rPr>
        <b val="1"/>
        <sz val="14"/>
        <color indexed="15"/>
        <rFont val="Calibri"/>
      </rPr>
      <t>15. Site area (m</t>
    </r>
    <r>
      <rPr>
        <b val="1"/>
        <vertAlign val="superscript"/>
        <sz val="14"/>
        <color indexed="15"/>
        <rFont val="Calibri"/>
      </rPr>
      <t>2</t>
    </r>
    <r>
      <rPr>
        <b val="1"/>
        <sz val="14"/>
        <color indexed="15"/>
        <rFont val="Calibri"/>
      </rPr>
      <t>)</t>
    </r>
  </si>
  <si>
    <t>16. Building footprint (m2) of commercial buildings proposed within the development site (or zero if none)</t>
  </si>
  <si>
    <t>N/A</t>
  </si>
  <si>
    <t xml:space="preserve">Designated sites and priority habitats </t>
  </si>
  <si>
    <t>18. Any designated sites on or within 500m of the site?</t>
  </si>
  <si>
    <t>No</t>
  </si>
  <si>
    <t>19. Any priority habitats on or within 500m of the site?</t>
  </si>
  <si>
    <t>Within 500m of site boundary</t>
  </si>
  <si>
    <t>Consider using main metric tool ⚠</t>
  </si>
  <si>
    <t>20. List the designated sites and/or priority habitats</t>
  </si>
  <si>
    <t xml:space="preserve">Priority Habitat Inventory - Deciduous Woodland (England) (NE UID: 00000000-0000-0000-0000-000000000000) - Within 500m 
Priority Habitat Inventory - Deciduous Woodland (England) (NE UID: 00000000-0000-0000-0000-000000000000) - Within 500m 
Priority Habitat Inventory - Deciduous Woodland (England) (NE UID: 00000000-0000-0000-0000-000000000000) - Within 500m 
Priority Habitat Inventory - Deciduous Woodland (England) (NE UID: 00000000-0000-0000-0000-000000000000) - Within 500m 
Priority Habitat Inventory - Deciduous Woodland (England) (NE UID: 00000000-0000-0000-0000-000000000000) - Within 500m 
Priority Habitat Inventory - Deciduous Woodland (England) (NE UID: 00000000-0000-0000-0000-000000000000) - Within 500m 
Priority Habitat Inventory - Deciduous Woodland (England) (NE UID: 00000000-0000-0000-0000-000000000000) - Within 500m 
Priority Habitat Inventory - Deciduous Woodland (England) (NE UID: 00000000-0000-0000-0000-000000000000) - Within 500m 
Priority Habitat Inventory - Deciduous Woodland (England) (NE UID: 00000000-0000-0000-0000-000000000000) - Within 500m 
Priority Habitat Inventory - Deciduous Woodland (England) (NE UID: 00000000-0000-0000-0000-000000000000) - Within 500m 
Priority Habitat Inventory - Deciduous Woodland (England) (NE UID: 00000000-0000-0000-0000-000000000000) - Within 500m 
Priority Habitat Inventory - Deciduous Woodland (England) (NE UID: 00000000-0000-0000-0000-000000000000) - Within 500m 
Priority Habitat Inventory - Deciduous Woodland (England) (NE UID: 00000000-0000-0000-0000-000000000000) - Within 500m 
Priority Habitat Inventory - Deciduous Woodland (England) (NE UID: 00000000-0000-0000-0000-000000000000) - Within 500m 
Priority Habitat Inventory - Deciduous Woodland (England) (NE UID: 00000000-0000-0000-0000-000000000000) - Within 500m 
Priority Habitat Inventory - Deciduous Woodland (England) (NE UID: 00000000-0000-0000-0000-000000000000) - Within 500m 
Priority Habitat Inventory - Deciduous Woodland (England) (NE UID: 00000000-0000-0000-0000-000000000000) - Within 500m 
</t>
  </si>
  <si>
    <t>21. Information sources used for assessment of designated sites and priority habitats
(See guidance)</t>
  </si>
  <si>
    <t>European protected species</t>
  </si>
  <si>
    <t>22. Any european protected species present on site</t>
  </si>
  <si>
    <t>Site walkover</t>
  </si>
  <si>
    <t>23. Site walkover completed?</t>
  </si>
  <si>
    <t>Walkover completed by competent person</t>
  </si>
  <si>
    <t>A competent person should be able to confidently identify the habitats onsite</t>
  </si>
  <si>
    <t>24. Date of site walkover - DD/MM/YY</t>
  </si>
  <si>
    <t>16/08/2024</t>
  </si>
  <si>
    <t>Site walkover data valid until 16/02/25</t>
  </si>
  <si>
    <t>25. Who completed the walkover? 
(Name and job title)</t>
  </si>
  <si>
    <t>Gunjan Sarda (Business Improvement Manager)</t>
  </si>
  <si>
    <t>Additional details</t>
  </si>
  <si>
    <t>26. Any additional information or notes</t>
  </si>
  <si>
    <t>4. Supporting Information</t>
  </si>
  <si>
    <t>Supporting Information</t>
  </si>
  <si>
    <t>Baseline Habitat Photos</t>
  </si>
  <si>
    <t>Insert photographs to support assumptions made in the metric</t>
  </si>
  <si>
    <t>Ref</t>
  </si>
  <si>
    <t>Habitat type</t>
  </si>
  <si>
    <t>Photo 1</t>
  </si>
  <si>
    <t>Photo 2</t>
  </si>
  <si>
    <t>Date taken</t>
  </si>
  <si>
    <t>16/09/2024</t>
  </si>
  <si>
    <r>
      <rPr>
        <sz val="11"/>
        <color indexed="8"/>
        <rFont val="Calibri"/>
      </rPr>
      <t>Developed land; sealed surface</t>
    </r>
  </si>
  <si>
    <r>
      <rPr>
        <sz val="11"/>
        <color indexed="8"/>
        <rFont val="Calibri"/>
      </rPr>
      <t>Unvegetated garden</t>
    </r>
  </si>
  <si>
    <t>5. Area Habitats</t>
  </si>
  <si>
    <t>Retained Units</t>
  </si>
  <si>
    <t>Data beyond this column is automated</t>
  </si>
  <si>
    <t>Site Name</t>
  </si>
  <si>
    <r>
      <rPr>
        <b val="1"/>
        <u val="single"/>
        <sz val="14"/>
        <color indexed="8"/>
        <rFont val="Calibri"/>
      </rPr>
      <t>Instructions:</t>
    </r>
    <r>
      <rPr>
        <sz val="11"/>
        <color indexed="8"/>
        <rFont val="Calibri"/>
      </rPr>
      <t xml:space="preserve">
</t>
    </r>
    <r>
      <rPr>
        <sz val="11"/>
        <color indexed="8"/>
        <rFont val="Calibri"/>
      </rPr>
      <t xml:space="preserve">1. Enter data into 1a. Baseline habitats table 
</t>
    </r>
    <r>
      <rPr>
        <sz val="11"/>
        <color indexed="8"/>
        <rFont val="Calibri"/>
      </rPr>
      <t xml:space="preserve">2. Enter data on habitats to be created into 1b. Habitats to be created
</t>
    </r>
    <r>
      <rPr>
        <sz val="11"/>
        <color indexed="8"/>
        <rFont val="Calibri"/>
      </rPr>
      <t xml:space="preserve">3. Enter data on habitats to be enhanced into 1c. Habitats to be enhanced 
</t>
    </r>
    <r>
      <rPr>
        <sz val="11"/>
        <color indexed="8"/>
        <rFont val="Calibri"/>
      </rPr>
      <t xml:space="preserve">4. Enter data on individual trees into 1d. Tree area calculator
</t>
    </r>
  </si>
  <si>
    <t xml:space="preserve">All Key Rules Satisfied ✓ </t>
  </si>
  <si>
    <t>Lost Units</t>
  </si>
  <si>
    <t>Created Units</t>
  </si>
  <si>
    <t>Enhancement Units</t>
  </si>
  <si>
    <t>Net Change</t>
  </si>
  <si>
    <t>1a. Baseline habitats</t>
  </si>
  <si>
    <t>Habitat</t>
  </si>
  <si>
    <t>C. Strategic significance</t>
  </si>
  <si>
    <r>
      <rPr>
        <b val="1"/>
        <sz val="12"/>
        <color indexed="15"/>
        <rFont val="Calibri"/>
      </rPr>
      <t>Areas (m</t>
    </r>
    <r>
      <rPr>
        <b val="1"/>
        <vertAlign val="superscript"/>
        <sz val="12"/>
        <color indexed="15"/>
        <rFont val="Calibri"/>
      </rPr>
      <t>2</t>
    </r>
    <r>
      <rPr>
        <b val="1"/>
        <sz val="12"/>
        <color indexed="15"/>
        <rFont val="Calibri"/>
      </rPr>
      <t>)</t>
    </r>
  </si>
  <si>
    <t>Baseline results</t>
  </si>
  <si>
    <t>Comments</t>
  </si>
  <si>
    <t>Habitat distinctiveness</t>
  </si>
  <si>
    <t>Habitat condition</t>
  </si>
  <si>
    <t>Strategic significance</t>
  </si>
  <si>
    <t>Ecological baseline</t>
  </si>
  <si>
    <t>Suggested action to address habitat losses</t>
  </si>
  <si>
    <t>Enhancement rules</t>
  </si>
  <si>
    <t>A. Broad Habitat</t>
  </si>
  <si>
    <t xml:space="preserve"> B. Habitat type</t>
  </si>
  <si>
    <t xml:space="preserve">D. Total Area </t>
  </si>
  <si>
    <t>E. Area retained</t>
  </si>
  <si>
    <t>F. Area enhanced</t>
  </si>
  <si>
    <t>Total habitat units onsite</t>
  </si>
  <si>
    <t>Area Lost</t>
  </si>
  <si>
    <t>Units lost</t>
  </si>
  <si>
    <t>User comments</t>
  </si>
  <si>
    <t>LPA comments</t>
  </si>
  <si>
    <t>Distinctiveness</t>
  </si>
  <si>
    <t>Score</t>
  </si>
  <si>
    <t xml:space="preserve">Condition </t>
  </si>
  <si>
    <t>Strategic significance multiplier</t>
  </si>
  <si>
    <t>Baseline units retained</t>
  </si>
  <si>
    <t>Baseline units to be enhanced</t>
  </si>
  <si>
    <t>Area lost</t>
  </si>
  <si>
    <t>Urban</t>
  </si>
  <si>
    <t>Developed land; sealed surface</t>
  </si>
  <si>
    <t>Area/compensation not in local strategy/ no local strategy</t>
  </si>
  <si>
    <t>V.Low</t>
  </si>
  <si>
    <r>
      <rPr>
        <sz val="11"/>
        <color indexed="8"/>
        <rFont val="Calibri"/>
      </rPr>
      <t>N/A - Other</t>
    </r>
  </si>
  <si>
    <r>
      <rPr>
        <sz val="11"/>
        <color indexed="8"/>
        <rFont val="Calibri"/>
      </rPr>
      <t>Area/compensation not in local strategy/ no local strategy</t>
    </r>
  </si>
  <si>
    <r>
      <rPr>
        <sz val="11"/>
        <color indexed="8"/>
        <rFont val="Calibri"/>
      </rPr>
      <t>Low Strategic Significance</t>
    </r>
  </si>
  <si>
    <r>
      <rPr>
        <sz val="11"/>
        <color indexed="8"/>
        <rFont val="Calibri"/>
      </rPr>
      <t>Compensation Not Required</t>
    </r>
  </si>
  <si>
    <r>
      <rPr>
        <sz val="11"/>
        <color indexed="8"/>
        <rFont val="Calibri"/>
      </rPr>
      <t>Enhancement not possible</t>
    </r>
  </si>
  <si>
    <t>Unvegetated garden</t>
  </si>
  <si>
    <t>Lightwell</t>
  </si>
  <si>
    <t>Trees</t>
  </si>
  <si>
    <t>Individual trees</t>
  </si>
  <si>
    <t>Urban/rural tree</t>
  </si>
  <si>
    <t>Formally identified in local strategy</t>
  </si>
  <si>
    <t>Medium</t>
  </si>
  <si>
    <r>
      <rPr>
        <sz val="11"/>
        <color indexed="8"/>
        <rFont val="Calibri"/>
      </rPr>
      <t>Moderate</t>
    </r>
  </si>
  <si>
    <r>
      <rPr>
        <sz val="11"/>
        <color indexed="8"/>
        <rFont val="Calibri"/>
      </rPr>
      <t>Formally identified in local strategy</t>
    </r>
  </si>
  <si>
    <r>
      <rPr>
        <sz val="11"/>
        <color indexed="8"/>
        <rFont val="Calibri"/>
      </rPr>
      <t xml:space="preserve">High strategic significance </t>
    </r>
  </si>
  <si>
    <r>
      <rPr>
        <sz val="11"/>
        <color indexed="8"/>
        <rFont val="Calibri"/>
      </rPr>
      <t>Same broad habitat or a higher distinctiveness habitat required</t>
    </r>
  </si>
  <si>
    <r>
      <rPr>
        <sz val="11"/>
        <color indexed="8"/>
        <rFont val="Calibri"/>
      </rPr>
      <t>Urban/rural tree</t>
    </r>
  </si>
  <si>
    <t>Totals (areas excl trees, green walls and intertidal hard structures)</t>
  </si>
  <si>
    <t>Error Check 1</t>
  </si>
  <si>
    <t>Areas Acceptable ✓</t>
  </si>
  <si>
    <t>Error Check 2</t>
  </si>
  <si>
    <t>Error Check 3</t>
  </si>
  <si>
    <t>1b. Habitats to be created</t>
  </si>
  <si>
    <t>Condition Assessment</t>
  </si>
  <si>
    <t>D. Strategic significance</t>
  </si>
  <si>
    <r>
      <rPr>
        <b val="1"/>
        <sz val="12"/>
        <color indexed="15"/>
        <rFont val="Calibri"/>
      </rPr>
      <t>E. Total Area  (m</t>
    </r>
    <r>
      <rPr>
        <b val="1"/>
        <vertAlign val="superscript"/>
        <sz val="12"/>
        <color indexed="15"/>
        <rFont val="Calibri"/>
      </rPr>
      <t>2</t>
    </r>
    <r>
      <rPr>
        <b val="1"/>
        <sz val="12"/>
        <color indexed="15"/>
        <rFont val="Calibri"/>
      </rPr>
      <t>)</t>
    </r>
  </si>
  <si>
    <t>Habitat units created onsite</t>
  </si>
  <si>
    <t>Temporal multiplier</t>
  </si>
  <si>
    <t>Difficulty multipliers</t>
  </si>
  <si>
    <t>B. Habitat type</t>
  </si>
  <si>
    <t>Acceptable condition options</t>
  </si>
  <si>
    <t>C. Targeted condition</t>
  </si>
  <si>
    <t>Time to target condition/years</t>
  </si>
  <si>
    <t>Time to target multiplier</t>
  </si>
  <si>
    <t>Difficulty of creation category</t>
  </si>
  <si>
    <t>Difficulty of creation multiplier</t>
  </si>
  <si>
    <t>N/A - Other</t>
  </si>
  <si>
    <r>
      <rPr>
        <sz val="11"/>
        <color indexed="8"/>
        <rFont val="Calibri"/>
      </rPr>
      <t>Low</t>
    </r>
  </si>
  <si>
    <t>Ground level planters</t>
  </si>
  <si>
    <r>
      <rPr>
        <sz val="11"/>
        <color indexed="8"/>
        <rFont val="Calibri"/>
      </rPr>
      <t>Condition Assessment N/A</t>
    </r>
  </si>
  <si>
    <t>Condition Assessment N/A</t>
  </si>
  <si>
    <t>Low</t>
  </si>
  <si>
    <t>Moderate</t>
  </si>
  <si>
    <t>Error Check 4</t>
  </si>
  <si>
    <t>Divider</t>
  </si>
  <si>
    <t>1c. Habitats to be enhanced</t>
  </si>
  <si>
    <t>,</t>
  </si>
  <si>
    <t>Baseline ref</t>
  </si>
  <si>
    <t>Existing Habitat Type</t>
  </si>
  <si>
    <t>Enhanced Habitat type</t>
  </si>
  <si>
    <t>B. Strategic significance</t>
  </si>
  <si>
    <t>Area Enhanced</t>
  </si>
  <si>
    <t>Enhanced Condition</t>
  </si>
  <si>
    <t>Total Units</t>
  </si>
  <si>
    <t>Net Improvement</t>
  </si>
  <si>
    <t>Baseline Values</t>
  </si>
  <si>
    <t xml:space="preserve"> Distinctiveness change acceptable?</t>
  </si>
  <si>
    <t>Enhanced multipliers</t>
  </si>
  <si>
    <t>Condition enhancement - Time to target condition/years</t>
  </si>
  <si>
    <t>Number of options</t>
  </si>
  <si>
    <t>Broad habitat type</t>
  </si>
  <si>
    <t>Existing habitat type</t>
  </si>
  <si>
    <t>Enhancement Type</t>
  </si>
  <si>
    <t>A. Enhanced habitat type</t>
  </si>
  <si>
    <t>Area enhanced</t>
  </si>
  <si>
    <t>Baseline distinctiveness band</t>
  </si>
  <si>
    <t>Baseline distinctiveness score</t>
  </si>
  <si>
    <t>Baseline condition category</t>
  </si>
  <si>
    <t>Baseline condition score</t>
  </si>
  <si>
    <t>Baseline strategic significance category</t>
  </si>
  <si>
    <t>Baseline strategic significance score</t>
  </si>
  <si>
    <t>Baseline value of area enhanced</t>
  </si>
  <si>
    <t>Condition enhancement - Time to target multiplier</t>
  </si>
  <si>
    <t>Distinctiveness enhancement - Time to target condition/years</t>
  </si>
  <si>
    <t>Distinctiveness enhancement - Time to target multiplier</t>
  </si>
  <si>
    <t>Difficulty of enhancement category</t>
  </si>
  <si>
    <t>Difficulty of enhancement multiplier</t>
  </si>
  <si>
    <t>Acceptable habitat types</t>
  </si>
  <si>
    <t>Enhancement type</t>
  </si>
  <si>
    <t>Enhancement broad habitat type</t>
  </si>
  <si>
    <t>Option number</t>
  </si>
  <si>
    <t>List range</t>
  </si>
  <si>
    <t>Column ref</t>
  </si>
  <si>
    <t>list  length</t>
  </si>
  <si>
    <t>BB</t>
  </si>
  <si>
    <t>BC</t>
  </si>
  <si>
    <t>BD</t>
  </si>
  <si>
    <t>BE</t>
  </si>
  <si>
    <t>BF</t>
  </si>
  <si>
    <t>BG</t>
  </si>
  <si>
    <t>BH</t>
  </si>
  <si>
    <t>BI</t>
  </si>
  <si>
    <t>BJ</t>
  </si>
  <si>
    <t>BK</t>
  </si>
  <si>
    <t>BL</t>
  </si>
  <si>
    <t>BM</t>
  </si>
  <si>
    <t>BN</t>
  </si>
  <si>
    <t>BO</t>
  </si>
  <si>
    <t>BP</t>
  </si>
  <si>
    <t>BQ</t>
  </si>
  <si>
    <t>BR</t>
  </si>
  <si>
    <t>BS</t>
  </si>
  <si>
    <t>BT</t>
  </si>
  <si>
    <t>BU</t>
  </si>
  <si>
    <r>
      <rPr>
        <sz val="11"/>
        <color indexed="8"/>
        <rFont val="Calibri"/>
      </rPr>
      <t>Condition</t>
    </r>
  </si>
  <si>
    <r>
      <rPr>
        <sz val="11"/>
        <color indexed="8"/>
        <rFont val="Calibri"/>
      </rPr>
      <t>Good</t>
    </r>
  </si>
  <si>
    <r>
      <rPr>
        <sz val="11"/>
        <color indexed="8"/>
        <rFont val="Calibri"/>
      </rPr>
      <t>Medium</t>
    </r>
  </si>
  <si>
    <t>Acceptable</t>
  </si>
  <si>
    <r>
      <rPr>
        <sz val="11"/>
        <color indexed="8"/>
        <rFont val="Calibri"/>
      </rPr>
      <t>Not Possible</t>
    </r>
  </si>
  <si>
    <r>
      <rPr>
        <sz val="11"/>
        <color indexed="8"/>
        <rFont val="Calibri"/>
      </rPr>
      <t>N/A</t>
    </r>
  </si>
  <si>
    <t>Condition</t>
  </si>
  <si>
    <t>1d.  - Tree area calculator</t>
  </si>
  <si>
    <t>Tree size
(Diameter at breast height)</t>
  </si>
  <si>
    <t>A. Total number of trees pre development</t>
  </si>
  <si>
    <t>B. Number of trees retained (but not enhanced)</t>
  </si>
  <si>
    <t>C. Number of new trees planted post development</t>
  </si>
  <si>
    <t>Areas</t>
  </si>
  <si>
    <t>Area pre development</t>
  </si>
  <si>
    <t>Area retained</t>
  </si>
  <si>
    <t>Area of new trees planted post development</t>
  </si>
  <si>
    <t>Small -DBH ≤ 30cm</t>
  </si>
  <si>
    <t>Medium - DBH &gt; 30 to ≤ 60cm</t>
  </si>
  <si>
    <t>Large - DBH &gt; 60 to ≤ 90cm</t>
  </si>
  <si>
    <t>Very Large - DBH &gt; 90cm</t>
  </si>
  <si>
    <t>Total</t>
  </si>
  <si>
    <t>Data beyond this row is automated</t>
  </si>
  <si>
    <t>1e . Trading Summary</t>
  </si>
  <si>
    <t>Broad Habitat Type - Medium Distinctiveness Habitats</t>
  </si>
  <si>
    <t>Trading Rules Satisfied ✓</t>
  </si>
  <si>
    <t xml:space="preserve">Medium and Low Distinctiveness Band </t>
  </si>
  <si>
    <t>1f . Habitat trading assessment</t>
  </si>
  <si>
    <t>Broad habitat types</t>
  </si>
  <si>
    <t>Distinctiveness band</t>
  </si>
  <si>
    <t>Baseline units</t>
  </si>
  <si>
    <t>Onsite provision</t>
  </si>
  <si>
    <t>Net change</t>
  </si>
  <si>
    <t>Trading satisfied?</t>
  </si>
  <si>
    <t>Cropland</t>
  </si>
  <si>
    <t>-</t>
  </si>
  <si>
    <t>Grassland</t>
  </si>
  <si>
    <t>Heathland and shrub</t>
  </si>
  <si>
    <t>Intertidal hard structures</t>
  </si>
  <si>
    <t>Intertidal sediment</t>
  </si>
  <si>
    <t>Lakes</t>
  </si>
  <si>
    <t>Sparsely vegetated land</t>
  </si>
  <si>
    <t>Woodland and forest</t>
  </si>
  <si>
    <t>Coastal saltmarsh</t>
  </si>
  <si>
    <t>Medium distinctiveness</t>
  </si>
  <si>
    <t>Yes ✓</t>
  </si>
  <si>
    <t>Low distinctiveness</t>
  </si>
  <si>
    <t>Surplus area habitat biodiversity units after offsetting low distinctiveness units</t>
  </si>
  <si>
    <t>6. Hedges &amp; Lines of Trees</t>
  </si>
  <si>
    <r>
      <rPr>
        <b val="1"/>
        <u val="single"/>
        <sz val="14"/>
        <color indexed="8"/>
        <rFont val="Calibri"/>
      </rPr>
      <t xml:space="preserve">Instructions:
</t>
    </r>
    <r>
      <rPr>
        <sz val="11"/>
        <color indexed="8"/>
        <rFont val="Calibri"/>
      </rPr>
      <t xml:space="preserve">
</t>
    </r>
    <r>
      <rPr>
        <sz val="11"/>
        <color indexed="8"/>
        <rFont val="Calibri"/>
      </rPr>
      <t xml:space="preserve">1. Enter data into 1a. Baseline habitats 
</t>
    </r>
    <r>
      <rPr>
        <sz val="11"/>
        <color indexed="8"/>
        <rFont val="Calibri"/>
      </rPr>
      <t xml:space="preserve">2. Enter data on habitats to be created into 1b. Habitats to be created
</t>
    </r>
    <r>
      <rPr>
        <sz val="11"/>
        <color indexed="8"/>
        <rFont val="Calibri"/>
      </rPr>
      <t xml:space="preserve">3. Enter data on habitats to be enhanced into 1c. Habitats to be enhanced
</t>
    </r>
  </si>
  <si>
    <t>Length (m)</t>
  </si>
  <si>
    <t>D. Total Length</t>
  </si>
  <si>
    <t>E. Length retained</t>
  </si>
  <si>
    <t>F. Length enhanced</t>
  </si>
  <si>
    <t>Total  units onsite</t>
  </si>
  <si>
    <t>Length Lost</t>
  </si>
  <si>
    <t>Hedgerows and Lines of trees</t>
  </si>
  <si>
    <t>Totals</t>
  </si>
  <si>
    <t>Lengths Acceptable ✓</t>
  </si>
  <si>
    <t>E. Total Length created (m)</t>
  </si>
  <si>
    <t>Units created on-site</t>
  </si>
  <si>
    <t>Length Enhanced (m)</t>
  </si>
  <si>
    <t>option number</t>
  </si>
  <si>
    <t>Distinctiveness and Habitat Type</t>
  </si>
  <si>
    <t>Species-rich native hedgerow</t>
  </si>
  <si>
    <t>Native hedgerow - associated with bank or ditch</t>
  </si>
  <si>
    <t>Native hedgerow with trees</t>
  </si>
  <si>
    <t>Ecologically valuable line of trees</t>
  </si>
  <si>
    <t>Ecologically valuable line of trees - associated with bank or ditch</t>
  </si>
  <si>
    <t>Sum</t>
  </si>
  <si>
    <t>Native hedgerow</t>
  </si>
  <si>
    <t>Line of trees</t>
  </si>
  <si>
    <t>Line of trees - associated with bank or ditch</t>
  </si>
  <si>
    <t>Very low</t>
  </si>
  <si>
    <t>Non-native and ornamental hedgerow</t>
  </si>
  <si>
    <t>Surplus medium distinctiveness units to offset low and very low distinctiveness units</t>
  </si>
  <si>
    <t>Cumulative surplus of units after offsetting low distinctiveness units</t>
  </si>
  <si>
    <t>Cumulative surplus of units after offsetting very low distinctiveness units</t>
  </si>
  <si>
    <t>7. Watercourses</t>
  </si>
  <si>
    <r>
      <rPr>
        <b val="1"/>
        <u val="single"/>
        <sz val="14"/>
        <color indexed="8"/>
        <rFont val="Calibri"/>
      </rPr>
      <t xml:space="preserve">Instructions:
</t>
    </r>
    <r>
      <rPr>
        <sz val="11"/>
        <color indexed="8"/>
        <rFont val="Calibri"/>
      </rPr>
      <t xml:space="preserve">
</t>
    </r>
    <r>
      <rPr>
        <sz val="11"/>
        <color indexed="8"/>
        <rFont val="Calibri"/>
      </rPr>
      <t xml:space="preserve">1. Enter data into 1a. Baseline habitats
</t>
    </r>
    <r>
      <rPr>
        <sz val="11"/>
        <color indexed="8"/>
        <rFont val="Calibri"/>
      </rPr>
      <t xml:space="preserve">2. Enter data on habitats to be created into 1b. Habitats to be created
</t>
    </r>
    <r>
      <rPr>
        <sz val="11"/>
        <color indexed="8"/>
        <rFont val="Calibri"/>
      </rPr>
      <t xml:space="preserve">3. Enter data on Habitats to be enhanced into 1c. Habitats to be enhanced
</t>
    </r>
  </si>
  <si>
    <t>Length M</t>
  </si>
  <si>
    <t>Baseline watercourse and riparian encroachment</t>
  </si>
  <si>
    <t>Baseline units pre-encroachment</t>
  </si>
  <si>
    <t>Watercourses</t>
  </si>
  <si>
    <t>1</t>
  </si>
  <si>
    <t>Units created onsite</t>
  </si>
  <si>
    <t>Watercourse and riparian encroachment</t>
  </si>
  <si>
    <t xml:space="preserve"> Enhanced Habitat type</t>
  </si>
  <si>
    <t>Length Enhanced</t>
  </si>
  <si>
    <t>Enhanced watercourse and riparian encroachment</t>
  </si>
  <si>
    <t>Habitat Type</t>
  </si>
  <si>
    <t>Canals</t>
  </si>
  <si>
    <t>Ditches</t>
  </si>
  <si>
    <t>Culvert</t>
  </si>
  <si>
    <t>Surplus medium distinctiveness units to offset low distinctiveness units</t>
  </si>
  <si>
    <t>Surplus watercourse biodiversity units</t>
  </si>
  <si>
    <t>8. Headline Results</t>
  </si>
  <si>
    <t>Headline Results</t>
  </si>
  <si>
    <t>Headline</t>
  </si>
  <si>
    <t>BNG Targets Met ✓</t>
  </si>
  <si>
    <t>Trading Rules</t>
  </si>
  <si>
    <t>Next steps</t>
  </si>
  <si>
    <t>Check for input errors/rule breaks present in the metric ⚠</t>
  </si>
  <si>
    <t>% unit change required</t>
  </si>
  <si>
    <t>Baseline Units</t>
  </si>
  <si>
    <t>Habitat units</t>
  </si>
  <si>
    <t>Zero Units Baseline</t>
  </si>
  <si>
    <t>Hedgerow units</t>
  </si>
  <si>
    <t>Watercourse units</t>
  </si>
  <si>
    <t>Target units required (baseline plus extra units needed)</t>
  </si>
  <si>
    <t>Post-development Units</t>
  </si>
  <si>
    <t>Total net unit change</t>
  </si>
  <si>
    <t>Total net % change</t>
  </si>
  <si>
    <t>% target not appropriate</t>
  </si>
  <si>
    <t>Habitats units required to meet target</t>
  </si>
  <si>
    <t>Hedgerow units required to meet target</t>
  </si>
  <si>
    <t>Watercourse units required to meet target</t>
  </si>
  <si>
    <t>Chart 1 - Unit change by habitat group</t>
  </si>
  <si>
    <t>Baseline</t>
  </si>
  <si>
    <t>Provision</t>
  </si>
  <si>
    <t>River units</t>
  </si>
  <si>
    <t>* based on government cost per unit of:</t>
  </si>
  <si>
    <t>9. All Habitats + Multipliers</t>
  </si>
  <si>
    <t>9. All Habitats + Multipliers - (general technical information for reference purposes only)</t>
  </si>
  <si>
    <t>Risk Multipliers</t>
  </si>
  <si>
    <t>Location Multipliers</t>
  </si>
  <si>
    <t>Broad Habitat Group</t>
  </si>
  <si>
    <t>Nearest Ukhab Habitat</t>
  </si>
  <si>
    <t>Definitive Ukhab /  Unis Code</t>
  </si>
  <si>
    <t xml:space="preserve">Distinctiveness Category </t>
  </si>
  <si>
    <t>Trading Notes</t>
  </si>
  <si>
    <t>Technical Difficulty Creation</t>
  </si>
  <si>
    <t>Technical Difficulty Enhancement</t>
  </si>
  <si>
    <t>Connectivity</t>
  </si>
  <si>
    <t>Arable field margins cultivated annually</t>
  </si>
  <si>
    <t>Same broad habitat or a higher distinctiveness habitat required</t>
  </si>
  <si>
    <t>Arable field margins game bird mix</t>
  </si>
  <si>
    <t>Arable field margins pollen and nectar</t>
  </si>
  <si>
    <t>Arable field margins tussocky</t>
  </si>
  <si>
    <t>Cereal crops</t>
  </si>
  <si>
    <t>Same distinctiveness or better habitat required</t>
  </si>
  <si>
    <t>Winter stubble</t>
  </si>
  <si>
    <t>Horticulture</t>
  </si>
  <si>
    <t>Intensive orchards</t>
  </si>
  <si>
    <t>Non-cereal crops</t>
  </si>
  <si>
    <t>Temporary grass and clover leys</t>
  </si>
  <si>
    <t>Bracken</t>
  </si>
  <si>
    <t>Modified grassland</t>
  </si>
  <si>
    <t>Other lowland acid grassland</t>
  </si>
  <si>
    <t>Other neutral grassland</t>
  </si>
  <si>
    <t>Upland acid grassland</t>
  </si>
  <si>
    <t>Blackthorn scrub</t>
  </si>
  <si>
    <t>Bramble scrub</t>
  </si>
  <si>
    <t>Gorse scrub</t>
  </si>
  <si>
    <t>Hawthorn scrub</t>
  </si>
  <si>
    <t>Hazel scrub</t>
  </si>
  <si>
    <t>Mixed scrub</t>
  </si>
  <si>
    <t>Rhododendron scrub</t>
  </si>
  <si>
    <t>Other sea buckthorn scrub</t>
  </si>
  <si>
    <t>Willow scrub</t>
  </si>
  <si>
    <t>Ornamental lake or pond</t>
  </si>
  <si>
    <t>High</t>
  </si>
  <si>
    <t>Ponds (non-priority habitat)</t>
  </si>
  <si>
    <t>Reservoirs</t>
  </si>
  <si>
    <t>Ruderal/Ephemeral</t>
  </si>
  <si>
    <t>Other inland rock and scree</t>
  </si>
  <si>
    <t>Tall forbs</t>
  </si>
  <si>
    <t>Allotments</t>
  </si>
  <si>
    <t>Artificial unvegetated, unsealed surface</t>
  </si>
  <si>
    <t>Compensation Not Required</t>
  </si>
  <si>
    <t>Bioswale</t>
  </si>
  <si>
    <t>Biodiverse green roof</t>
  </si>
  <si>
    <t>Built linear features</t>
  </si>
  <si>
    <t>Cemeteries and churchyards</t>
  </si>
  <si>
    <t>Intensive green roof</t>
  </si>
  <si>
    <t>Facade-bound green wall</t>
  </si>
  <si>
    <t>Ground based green wall</t>
  </si>
  <si>
    <t>Other green roof</t>
  </si>
  <si>
    <t>Introduced shrub</t>
  </si>
  <si>
    <t>Rain garden</t>
  </si>
  <si>
    <t>Actively worked sand pit quarry or open cast mine</t>
  </si>
  <si>
    <t>Sustainable drainage system</t>
  </si>
  <si>
    <t>Vacant or derelict land</t>
  </si>
  <si>
    <t>Vegetated garden</t>
  </si>
  <si>
    <t>Bare ground</t>
  </si>
  <si>
    <t>Other coniferous woodland</t>
  </si>
  <si>
    <t>Other Scot's pine woodland</t>
  </si>
  <si>
    <t>Other woodland; broadleaved</t>
  </si>
  <si>
    <t>Other woodland; mixed</t>
  </si>
  <si>
    <t>Littoral coarse sediment</t>
  </si>
  <si>
    <t>Artificial saltmarshes and saline reedbeds</t>
  </si>
  <si>
    <t>Artificial littoral coarse sediment</t>
  </si>
  <si>
    <t>Artificial littoral mud</t>
  </si>
  <si>
    <t>Artificial littoral sand</t>
  </si>
  <si>
    <t>Artificial littoral muddy sand</t>
  </si>
  <si>
    <t>Artificial littoral mixed sediments</t>
  </si>
  <si>
    <t>Artificial littoral seagrass</t>
  </si>
  <si>
    <t>Artificial littoral biogenic reefs</t>
  </si>
  <si>
    <t>Littoral sand</t>
  </si>
  <si>
    <t>Artificial hard structures</t>
  </si>
  <si>
    <t>Artificial features of hard structures</t>
  </si>
  <si>
    <t>Artificial hard structures with integrated greening of grey infrastructure (IGGI)</t>
  </si>
  <si>
    <t>Rivers</t>
  </si>
  <si>
    <t>Same habitat required</t>
  </si>
  <si>
    <t>Better distinctiveness habitat required</t>
  </si>
  <si>
    <t>10. Condition and Temporal</t>
  </si>
  <si>
    <t>10. Condition and Temporal - general technical information for refence purposes only)</t>
  </si>
  <si>
    <t>Temporal Multipliers</t>
  </si>
  <si>
    <t>Enhancement Rules</t>
  </si>
  <si>
    <t>Baseline Default Condition</t>
  </si>
  <si>
    <t>Creation Condition Options</t>
  </si>
  <si>
    <t>Enhancement Habitat options</t>
  </si>
  <si>
    <t>EnhancementDefault Condition</t>
  </si>
  <si>
    <t>Years To Target Condition Creation - Moderate</t>
  </si>
  <si>
    <t>Years To Target Condition Creation - Good</t>
  </si>
  <si>
    <t>Years To Target Condition Creation - Poor</t>
  </si>
  <si>
    <t>Years To Target Condition Creation - Condition assessment N/A</t>
  </si>
  <si>
    <t>Years To Target Condition Creation - N/A Other</t>
  </si>
  <si>
    <t>Time To Target Condition Enhancement - Moderate to Good</t>
  </si>
  <si>
    <t>Time To Target Distinctiveness Enhancement - Low to Default Condition</t>
  </si>
  <si>
    <t>Good</t>
  </si>
  <si>
    <t>Poor</t>
  </si>
  <si>
    <t>Enhancement not possible</t>
  </si>
  <si>
    <t>Not Possible</t>
  </si>
  <si>
    <t>Arable field margins cultivated annually, Arable field margins game bird mix, Arable field margins pollen and nectar, Arable field margins tussocky</t>
  </si>
  <si>
    <t>Condition enhancement not possible, enhancement to any medium distinctiveness cropland habitat only</t>
  </si>
  <si>
    <t>Other lowland acid grassland, Other neutral grassland, Upland acid grassland</t>
  </si>
  <si>
    <t>Condition enhancement not possible, enhancement to any medium distinctiveness grassland habitat only</t>
  </si>
  <si>
    <t>Moderate, Good</t>
  </si>
  <si>
    <t>Modified grassland, Other lowland acid grassland, Other neutral grassland, Upland acid grassland</t>
  </si>
  <si>
    <t>Condition enhancement or enhancement to any medium distinctiveness grassland habitat</t>
  </si>
  <si>
    <t>Condition enhancement only</t>
  </si>
  <si>
    <t>Blackthorn scrub, Gorse scrub, Hawthorn scrub, Hazel scrub, Mixed scrub, Willow scrub</t>
  </si>
  <si>
    <t>Condition enhancement not possible, enhancement to any medium distinctiveness habitat in heathland or shrub habitat only</t>
  </si>
  <si>
    <t>Ornamental lake or pond, Ponds (non-priority habitat)</t>
  </si>
  <si>
    <t>Condition enhancement or enhancement to non-priority pond only</t>
  </si>
  <si>
    <t>Enhancement to Biodiverse green roof.</t>
  </si>
  <si>
    <t>Intensive green roof, Biodiverse green roof</t>
  </si>
  <si>
    <t>Condition enhancement possible, enhancement to Intensive green roof and Biodiverse green roof</t>
  </si>
  <si>
    <t>Condition enhancement not possible, enhancement to Sparsely vegetated land - other inland rock and scree only</t>
  </si>
  <si>
    <t>30+</t>
  </si>
  <si>
    <t>Other Scot's pine woodland, Other woodland; broadleaved, Other woodland; mixed</t>
  </si>
  <si>
    <t>Condition enhancement or enhancement to any medium distinctiveness woodland</t>
  </si>
  <si>
    <t>Artificial hard structures, Artificial hard structures with integrated greening of grey infrastructure (IGGI)</t>
  </si>
  <si>
    <t>Condition enhancement within same distinctiveness or enhancement to medium distinctiveness habitat</t>
  </si>
  <si>
    <t>Artificial features of hard structures, Artificial hard structures with integrated greening of grey infrastructure (IGGI)</t>
  </si>
  <si>
    <t>Native hedgerow, Species-rich native hedgerow, Native hedgerow - associated with bank or ditch, Native hedgerow with trees</t>
  </si>
  <si>
    <t>Condition enhancement or enhancement to any medium distinctiveness hedgerow</t>
  </si>
  <si>
    <t xml:space="preserve"> Native hedgerow with trees, Line of trees, Line of trees - associated with bank or ditch</t>
  </si>
  <si>
    <t>Not possible</t>
  </si>
  <si>
    <t>Condition enhancement or enhancement to an ecologically valuable line of trees or any medium distinctiveness hedgerow - i.e. should retain trees</t>
  </si>
  <si>
    <t xml:space="preserve">Ecologically valuable line of trees, Ecologically valuable line of trees - associated with bank or ditch, </t>
  </si>
  <si>
    <t>Condition enhancement or enhance to an Ecologically valuable line of trees - associated with bank or ditch</t>
  </si>
  <si>
    <t xml:space="preserve"> Line of trees - associated with bank or ditch</t>
  </si>
  <si>
    <t>Ecologically valuable line of trees - associated with bank or ditch,</t>
  </si>
  <si>
    <t>Canals, Ditches</t>
  </si>
  <si>
    <t>Enhancement to Canal or Ditch</t>
  </si>
  <si>
    <t>11. Lists</t>
  </si>
  <si>
    <t>Broadhabitattype</t>
  </si>
  <si>
    <t>Heathlandandshrub</t>
  </si>
  <si>
    <t>Intertidalhardstructures</t>
  </si>
  <si>
    <t>Intertidalsediment</t>
  </si>
  <si>
    <t>Sparselyvegetatedland</t>
  </si>
  <si>
    <t>Woodlandandforest</t>
  </si>
  <si>
    <t>HedgerowsandLinesoftrees</t>
  </si>
  <si>
    <t>Lineoftrees</t>
  </si>
  <si>
    <t>Coastalsaltmarsh</t>
  </si>
  <si>
    <t>Individualtrees</t>
  </si>
  <si>
    <t>Linear features</t>
  </si>
  <si>
    <t>difficulty</t>
  </si>
  <si>
    <t>Strategic Significance</t>
  </si>
  <si>
    <t>category</t>
  </si>
  <si>
    <t>value</t>
  </si>
  <si>
    <t>Spatial  risk</t>
  </si>
  <si>
    <t>Street trees</t>
  </si>
  <si>
    <t>Description</t>
  </si>
  <si>
    <t>score</t>
  </si>
  <si>
    <t>strategic significance</t>
  </si>
  <si>
    <t>Multiplier</t>
  </si>
  <si>
    <t>Category</t>
  </si>
  <si>
    <t>Tree size</t>
  </si>
  <si>
    <t>Diameter M</t>
  </si>
  <si>
    <t>RPA Radius M</t>
  </si>
  <si>
    <t>RPA ha</t>
  </si>
  <si>
    <t>Local Authority List</t>
  </si>
  <si>
    <t>Application type</t>
  </si>
  <si>
    <t>Highly connected habitat</t>
  </si>
  <si>
    <t xml:space="preserve">High strategic significance </t>
  </si>
  <si>
    <t>Compensation inside LPA or NCA, or deemed to be sufficiently local, to site of biodiversity loss</t>
  </si>
  <si>
    <t>Small</t>
  </si>
  <si>
    <t>Adur and Worthing Borough Council</t>
  </si>
  <si>
    <t>Householder planning consent</t>
  </si>
  <si>
    <t>Moderately connected habitat</t>
  </si>
  <si>
    <t>Low Strategic Significance</t>
  </si>
  <si>
    <r>
      <rPr>
        <sz val="11"/>
        <color indexed="8"/>
        <rFont val="Calibri"/>
      </rPr>
      <t xml:space="preserve">Compensation </t>
    </r>
    <r>
      <rPr>
        <u val="single"/>
        <sz val="11"/>
        <color indexed="8"/>
        <rFont val="Calibri"/>
      </rPr>
      <t>outside</t>
    </r>
    <r>
      <rPr>
        <sz val="11"/>
        <color indexed="8"/>
        <rFont val="Calibri"/>
      </rPr>
      <t xml:space="preserve"> LPA or NCA of impact site but in neighbouring LPA or NCA</t>
    </r>
  </si>
  <si>
    <t>Adur District Council</t>
  </si>
  <si>
    <t>Unconnected habitat</t>
  </si>
  <si>
    <t>Very High</t>
  </si>
  <si>
    <r>
      <rPr>
        <sz val="11"/>
        <color indexed="8"/>
        <rFont val="Calibri"/>
      </rPr>
      <t xml:space="preserve">Compensation </t>
    </r>
    <r>
      <rPr>
        <u val="single"/>
        <sz val="11"/>
        <color indexed="8"/>
        <rFont val="Calibri"/>
      </rPr>
      <t>outside</t>
    </r>
    <r>
      <rPr>
        <sz val="11"/>
        <color indexed="8"/>
        <rFont val="Calibri"/>
      </rPr>
      <t xml:space="preserve"> LPA or NCA of impact site and beyond neighbouring LPA or NCA </t>
    </r>
  </si>
  <si>
    <t>Large</t>
  </si>
  <si>
    <t>Allerdale Borough Council</t>
  </si>
  <si>
    <t>Hybrid planning consent</t>
  </si>
  <si>
    <t>Assessment not appropriate</t>
  </si>
  <si>
    <t>Amber Valley Borough Council</t>
  </si>
  <si>
    <t>Outline planning consent</t>
  </si>
  <si>
    <t>Arun District Council</t>
  </si>
  <si>
    <t>Reserved Matters</t>
  </si>
  <si>
    <t>Ashfield District Council</t>
  </si>
  <si>
    <t>Application for non-material amendments</t>
  </si>
  <si>
    <t>Ashford Borough Council</t>
  </si>
  <si>
    <t>Aylesbury Vale District Council</t>
  </si>
  <si>
    <t>Babergh District Council</t>
  </si>
  <si>
    <t>Distinctiveness categories</t>
  </si>
  <si>
    <t>Condition categories</t>
  </si>
  <si>
    <t>Temporal multipliers</t>
  </si>
  <si>
    <t>Hedges Distinctiveness categories</t>
  </si>
  <si>
    <t>Barnsley Metropolitan Borough Council</t>
  </si>
  <si>
    <t>Distinctiveness Category</t>
  </si>
  <si>
    <t>Distinctiveness Score</t>
  </si>
  <si>
    <t>Suggested Action</t>
  </si>
  <si>
    <t>Condition Multiplier</t>
  </si>
  <si>
    <t>Condition Assessment Score</t>
  </si>
  <si>
    <t>Year</t>
  </si>
  <si>
    <t>% of original unit</t>
  </si>
  <si>
    <t>Time to target Multiplier</t>
  </si>
  <si>
    <t>RPA m2</t>
  </si>
  <si>
    <t>Barrow-in-Furness Borough Council</t>
  </si>
  <si>
    <t>Basildon Borough Council</t>
  </si>
  <si>
    <t>Basingstoke and Deane Borough Council</t>
  </si>
  <si>
    <t>Bassetlaw District Council</t>
  </si>
  <si>
    <t>Very Large</t>
  </si>
  <si>
    <t>Bath and North East Somerset Council</t>
  </si>
  <si>
    <t>Bedford Borough Council</t>
  </si>
  <si>
    <t>Birmingham City Council</t>
  </si>
  <si>
    <t>Blaby District Council</t>
  </si>
  <si>
    <t>Blackburn with Darwen Borough Council</t>
  </si>
  <si>
    <t>Blackpool Borough Council</t>
  </si>
  <si>
    <t>Blaenau Gwent County Borough Council</t>
  </si>
  <si>
    <t>Bolsover District Council</t>
  </si>
  <si>
    <t>Bolton Metropolitan Borough Council</t>
  </si>
  <si>
    <t>Borough of Broxbourne</t>
  </si>
  <si>
    <t>Borough of Poole</t>
  </si>
  <si>
    <t>Boston Borough Council</t>
  </si>
  <si>
    <t>Bournemouth Borough Council</t>
  </si>
  <si>
    <t>Bracknell Forest Council</t>
  </si>
  <si>
    <t>Bradford Metropolitan District Council</t>
  </si>
  <si>
    <t>Braintree District Council</t>
  </si>
  <si>
    <t>Breckland District Council</t>
  </si>
  <si>
    <t>Brentwood Borough Council</t>
  </si>
  <si>
    <t>Bridgend County Borough Council</t>
  </si>
  <si>
    <t>Brighton and Hove City Council</t>
  </si>
  <si>
    <t>Bristol City Council</t>
  </si>
  <si>
    <t>Broadland District Council</t>
  </si>
  <si>
    <t>Bromsgrove District Council</t>
  </si>
  <si>
    <t>Broxtowe Borough Council</t>
  </si>
  <si>
    <t>Buckinghamshire County Council</t>
  </si>
  <si>
    <t>Burnley Borough Council</t>
  </si>
  <si>
    <t>Bury Metropolitan Borough Council</t>
  </si>
  <si>
    <t>Caerphilly County Borough Council</t>
  </si>
  <si>
    <t>Calderdale Metropolitan Borough Council</t>
  </si>
  <si>
    <t>Cambridge City Council</t>
  </si>
  <si>
    <t>Cambridgeshire County Council</t>
  </si>
  <si>
    <t>Cannock Chase District Council</t>
  </si>
  <si>
    <t>Canterbury City Council</t>
  </si>
  <si>
    <t>Cardiff Council</t>
  </si>
  <si>
    <t>Carlisle City Council</t>
  </si>
  <si>
    <t>Carmarthenshire County Council</t>
  </si>
  <si>
    <t>Castle Point Borough Council</t>
  </si>
  <si>
    <t>Central Bedfordshire Council</t>
  </si>
  <si>
    <t>Ceredigion County Council</t>
  </si>
  <si>
    <t>Charnwood Borough Council</t>
  </si>
  <si>
    <t>Chelmsford City Council</t>
  </si>
  <si>
    <t>Cheltenham Borough Council</t>
  </si>
  <si>
    <t>Cherwell District Council</t>
  </si>
  <si>
    <t>Cheshire East Council (Unitary)</t>
  </si>
  <si>
    <t>Cheshire West and Chester Council</t>
  </si>
  <si>
    <t>Chesterfield Borough Council</t>
  </si>
  <si>
    <t>Chichester District Council</t>
  </si>
  <si>
    <t>Chiltern District Council</t>
  </si>
  <si>
    <t>Chorley Council</t>
  </si>
  <si>
    <t>Christchurch Borough Council</t>
  </si>
  <si>
    <t>City of Lincoln Council</t>
  </si>
  <si>
    <t>City of London</t>
  </si>
  <si>
    <t>City of York Council</t>
  </si>
  <si>
    <t>Colchester Borough Council</t>
  </si>
  <si>
    <t>Conwy County Borough Council</t>
  </si>
  <si>
    <t>Copeland Borough Council</t>
  </si>
  <si>
    <t>Corby Borough Council</t>
  </si>
  <si>
    <t>Cornwall Council (Unitary)</t>
  </si>
  <si>
    <t>Cotswold District Council</t>
  </si>
  <si>
    <t>Coventry City Council</t>
  </si>
  <si>
    <t>Craven District Council</t>
  </si>
  <si>
    <t>Crawley Borough Council</t>
  </si>
  <si>
    <t>Cumbria County Council</t>
  </si>
  <si>
    <t>Dacorum Council</t>
  </si>
  <si>
    <t>Darlington Borough Council</t>
  </si>
  <si>
    <t>Dartford Borough Council</t>
  </si>
  <si>
    <t>Daventry District Council</t>
  </si>
  <si>
    <t>Denbighshire County Council</t>
  </si>
  <si>
    <t>Derby City Council</t>
  </si>
  <si>
    <t>Derbyshire County Council</t>
  </si>
  <si>
    <t>Derbyshire Dales District Council</t>
  </si>
  <si>
    <t>Devon County Council</t>
  </si>
  <si>
    <t>Doncaster Metropolitan Borough Council</t>
  </si>
  <si>
    <t>Dorset County Council</t>
  </si>
  <si>
    <t>Dover District Council</t>
  </si>
  <si>
    <t>Dudley Metropolitan Borough Council</t>
  </si>
  <si>
    <t>Durham County Council</t>
  </si>
  <si>
    <t>East Cambridgeshire District Council</t>
  </si>
  <si>
    <t>East Devon District Council</t>
  </si>
  <si>
    <t>East Dorset District Council</t>
  </si>
  <si>
    <t>East Hampshire District Council</t>
  </si>
  <si>
    <t>East Hertfordshire District Council</t>
  </si>
  <si>
    <t>East Lindsey District Council</t>
  </si>
  <si>
    <t>East Northamptonshire Council</t>
  </si>
  <si>
    <t>East Riding of Yorkshire Council</t>
  </si>
  <si>
    <t>East Staffordshire Borough Council</t>
  </si>
  <si>
    <t>East Sussex County Council</t>
  </si>
  <si>
    <t>Eastbourne Borough Council</t>
  </si>
  <si>
    <t>Eastleigh Borough Council</t>
  </si>
  <si>
    <t>Eden District Council</t>
  </si>
  <si>
    <t>Elmbridge Borough Council</t>
  </si>
  <si>
    <t>Epping Forest District Council</t>
  </si>
  <si>
    <t>Epsom and Ewell Borough Council</t>
  </si>
  <si>
    <t>Erewash Borough Council</t>
  </si>
  <si>
    <t>Essex County Council</t>
  </si>
  <si>
    <t>Exeter City Council</t>
  </si>
  <si>
    <t>Fareham Borough Council</t>
  </si>
  <si>
    <t>Fenland District Council</t>
  </si>
  <si>
    <t>Flintshire County Council</t>
  </si>
  <si>
    <t>Forest Heath District Council</t>
  </si>
  <si>
    <t>Forest of Dean District Council</t>
  </si>
  <si>
    <t>Fylde Borough Council</t>
  </si>
  <si>
    <t>Gateshead Metropolitan Borough Council</t>
  </si>
  <si>
    <t>Gedling Borough Council</t>
  </si>
  <si>
    <t>Gloucester City Council</t>
  </si>
  <si>
    <t>Gloucestershire County Council</t>
  </si>
  <si>
    <t>Gosport Borough Council</t>
  </si>
  <si>
    <t>Gravesham Borough Council</t>
  </si>
  <si>
    <t>Great Yarmouth Borough Council</t>
  </si>
  <si>
    <t>Guildford Borough Council</t>
  </si>
  <si>
    <t>Gwynedd County Council</t>
  </si>
  <si>
    <t>Halton Borough Council</t>
  </si>
  <si>
    <t>Hambleton District Council</t>
  </si>
  <si>
    <t>Hampshire County Council</t>
  </si>
  <si>
    <t>Harborough District Council</t>
  </si>
  <si>
    <t>Harlow Council</t>
  </si>
  <si>
    <t>Harrogate Borough Council</t>
  </si>
  <si>
    <t>Hart District Council</t>
  </si>
  <si>
    <t>Hartlepool Borough Council</t>
  </si>
  <si>
    <t>Hastings Borough Council</t>
  </si>
  <si>
    <t>Havant Borough Council</t>
  </si>
  <si>
    <t>Herefordshire Council</t>
  </si>
  <si>
    <t>Hertfordshire County Council</t>
  </si>
  <si>
    <t>Hertsmere Borough Council</t>
  </si>
  <si>
    <t>High Peak Borough Council</t>
  </si>
  <si>
    <t>Hinckley and Bosworth Borough Council</t>
  </si>
  <si>
    <t>Horsham District Council</t>
  </si>
  <si>
    <t>Huntingdonshire District Council</t>
  </si>
  <si>
    <t>Hyndburn Borough Council</t>
  </si>
  <si>
    <t>Ipswich Borough Council</t>
  </si>
  <si>
    <t>Isle of Anglesey County Council</t>
  </si>
  <si>
    <t>Isle of Wight Council</t>
  </si>
  <si>
    <t>Isles of Scilly</t>
  </si>
  <si>
    <t>Kent County Council</t>
  </si>
  <si>
    <t>Kettering Borough Council</t>
  </si>
  <si>
    <t>King's Lynn and West Norfolk Borough Council</t>
  </si>
  <si>
    <t>Kingston-upon-Hull City Council</t>
  </si>
  <si>
    <t>Kirklees Council</t>
  </si>
  <si>
    <t>Knowsley Metropolitan Borough Council</t>
  </si>
  <si>
    <t>Lancashire County Council</t>
  </si>
  <si>
    <t>Lancaster City Council</t>
  </si>
  <si>
    <t>Leeds City Council</t>
  </si>
  <si>
    <t>Leicester City Council</t>
  </si>
  <si>
    <t>Leicestershire County Council</t>
  </si>
  <si>
    <t>Lewes District Council</t>
  </si>
  <si>
    <t>Lichfield District Council</t>
  </si>
  <si>
    <t>Lincolnshire County Council</t>
  </si>
  <si>
    <t>Liverpool City Council</t>
  </si>
  <si>
    <t>London Borough of Barking and Dagenham</t>
  </si>
  <si>
    <t>London Borough of Barnet</t>
  </si>
  <si>
    <t>London Borough of Bexley</t>
  </si>
  <si>
    <t>London Borough of Brent</t>
  </si>
  <si>
    <t>London Borough of Bromley</t>
  </si>
  <si>
    <t>London Borough of Camden</t>
  </si>
  <si>
    <t>London Borough of Croydon</t>
  </si>
  <si>
    <t>London Borough of Ealing</t>
  </si>
  <si>
    <t>London Borough of Enfield</t>
  </si>
  <si>
    <t>London Borough of Hackney</t>
  </si>
  <si>
    <t>London Borough of Hammersmith &amp; Fulham</t>
  </si>
  <si>
    <t>London Borough of Haringey</t>
  </si>
  <si>
    <t>London Borough of Harrow</t>
  </si>
  <si>
    <t>London Borough of Havering</t>
  </si>
  <si>
    <t>London Borough of Hillingdon</t>
  </si>
  <si>
    <t>London Borough of Hounslow</t>
  </si>
  <si>
    <t>London Borough of Islington</t>
  </si>
  <si>
    <t>London Borough of Lambeth</t>
  </si>
  <si>
    <t>London Borough of Lewisham</t>
  </si>
  <si>
    <t>London Borough of Merton</t>
  </si>
  <si>
    <t>London Borough of Newham</t>
  </si>
  <si>
    <t>London Borough of Redbridge</t>
  </si>
  <si>
    <t>London Borough of Richmond upon Thames</t>
  </si>
  <si>
    <t>London Borough of Southwark</t>
  </si>
  <si>
    <t>London Borough of Sutton</t>
  </si>
  <si>
    <t>London Borough of Tower Hamlets</t>
  </si>
  <si>
    <t>London Borough of Waltham Forest</t>
  </si>
  <si>
    <t>London Borough of Wandsworth</t>
  </si>
  <si>
    <t>Luton Borough Council</t>
  </si>
  <si>
    <t>Maidstone Borough Council</t>
  </si>
  <si>
    <t>Maldon District Council</t>
  </si>
  <si>
    <t>Malvern Hills District Council</t>
  </si>
  <si>
    <t>Manchester City Council</t>
  </si>
  <si>
    <t>Mansfield District Council</t>
  </si>
  <si>
    <t>Medway Council</t>
  </si>
  <si>
    <t>Melton Borough Council</t>
  </si>
  <si>
    <t>Mendip District Council</t>
  </si>
  <si>
    <t>Merthyr Tydfil County Borough Council</t>
  </si>
  <si>
    <t>Mid Devon District Council</t>
  </si>
  <si>
    <t>Mid Suffolk District Council</t>
  </si>
  <si>
    <t>Mid Sussex District Council</t>
  </si>
  <si>
    <t>Middlesbrough Borough Council</t>
  </si>
  <si>
    <t>Milton Keynes</t>
  </si>
  <si>
    <t>Mole Valley District Council</t>
  </si>
  <si>
    <t>Monmouthshire County Council</t>
  </si>
  <si>
    <t>Neath Port Talbot County Borough Council</t>
  </si>
  <si>
    <t>New Forest District Council</t>
  </si>
  <si>
    <t>Newark and Sherwood District Council</t>
  </si>
  <si>
    <t>Newcastle-Under-Lyme District Council</t>
  </si>
  <si>
    <t>Newport City Council</t>
  </si>
  <si>
    <t>Newcastle-upon-Tyne City Council</t>
  </si>
  <si>
    <t>Norfolk County Council</t>
  </si>
  <si>
    <t>North Devon Council</t>
  </si>
  <si>
    <t>North Dorset District Council</t>
  </si>
  <si>
    <t>North East Derbyshire District Council</t>
  </si>
  <si>
    <t>North East Lincolnshire Council</t>
  </si>
  <si>
    <t>North Hertfordshire District Council</t>
  </si>
  <si>
    <t>North Kesteven District Council</t>
  </si>
  <si>
    <t>North Lincolnshire Council</t>
  </si>
  <si>
    <t>North Norfolk District Council</t>
  </si>
  <si>
    <t>North Somerset Council</t>
  </si>
  <si>
    <t>North Tyneside Metropolitan Borough Council</t>
  </si>
  <si>
    <t>North Warwickshire Borough Council</t>
  </si>
  <si>
    <t>North West Leicestershire District Council</t>
  </si>
  <si>
    <t>North Yorkshire County Council</t>
  </si>
  <si>
    <t>Northampton Borough Council</t>
  </si>
  <si>
    <t>Northamptonshire County Council</t>
  </si>
  <si>
    <t>Northumberland Council</t>
  </si>
  <si>
    <t>Norwich City Council</t>
  </si>
  <si>
    <t>Nottingham City Council</t>
  </si>
  <si>
    <t>Nottinghamshire County Council</t>
  </si>
  <si>
    <t>Nuneaton and Bedworth Borough Council</t>
  </si>
  <si>
    <t>Oadby and Wigston District Council</t>
  </si>
  <si>
    <t>Oldham Metropolitan Borough Council</t>
  </si>
  <si>
    <t>Oxford City Council</t>
  </si>
  <si>
    <t>Oxfordshire County Council</t>
  </si>
  <si>
    <t>Pembrokeshire County Council</t>
  </si>
  <si>
    <t>Pendle Borough Council</t>
  </si>
  <si>
    <t>Perth and Kinross Council</t>
  </si>
  <si>
    <t>Peterborough City Council</t>
  </si>
  <si>
    <t>Plymouth City Council</t>
  </si>
  <si>
    <t>Portsmouth City Council</t>
  </si>
  <si>
    <t>Powys County Council</t>
  </si>
  <si>
    <t>Preston City Council</t>
  </si>
  <si>
    <t>Purbeck District Council</t>
  </si>
  <si>
    <t>Reading Borough Council</t>
  </si>
  <si>
    <t>Redcar and Cleveland Council</t>
  </si>
  <si>
    <t>Redditch Borough Council</t>
  </si>
  <si>
    <t>Reigate &amp; Banstead Borough Council</t>
  </si>
  <si>
    <t>Rhondda Cynon Taf County Borough Council</t>
  </si>
  <si>
    <t>Ribble Valley Borough Council</t>
  </si>
  <si>
    <t>Richmondshire District Council</t>
  </si>
  <si>
    <t>Rochdale Metropolitan Borough Council</t>
  </si>
  <si>
    <t>Rochford District Council</t>
  </si>
  <si>
    <t>Rossendale Borough Council</t>
  </si>
  <si>
    <t>Rother District Council</t>
  </si>
  <si>
    <t>Rotherham Metropolitan Borough Council</t>
  </si>
  <si>
    <t>Royal Borough of Greenwich</t>
  </si>
  <si>
    <t>Royal Borough of Kensington and Chelsea</t>
  </si>
  <si>
    <t>Royal Borough of Kingston upon Thames</t>
  </si>
  <si>
    <t>Royal Borough of Windsor and Maidenhead</t>
  </si>
  <si>
    <t>Rugby Borough Council</t>
  </si>
  <si>
    <t>Runnymede Borough Council</t>
  </si>
  <si>
    <t>Rushcliffe Borough Council</t>
  </si>
  <si>
    <t>Rushmoor Borough Council</t>
  </si>
  <si>
    <t>Rutland County Council</t>
  </si>
  <si>
    <t>Ryedale District Council</t>
  </si>
  <si>
    <t>Salford City Council</t>
  </si>
  <si>
    <t>Sandwell Metropolitan Borough Council</t>
  </si>
  <si>
    <t>Scarborough Borough Council</t>
  </si>
  <si>
    <t>Sedgemoor District Council</t>
  </si>
  <si>
    <t>Sefton Metropolitan Borough Council</t>
  </si>
  <si>
    <t>Selby District Council</t>
  </si>
  <si>
    <t>Sevenoaks District Council</t>
  </si>
  <si>
    <t>Sheffield City Council</t>
  </si>
  <si>
    <t>Shepway District Council</t>
  </si>
  <si>
    <t>Shropshire Council - Unitary</t>
  </si>
  <si>
    <t>Slough Borough Council</t>
  </si>
  <si>
    <t>Solihull Metropolitan Borough Council</t>
  </si>
  <si>
    <t>Somerset County Council</t>
  </si>
  <si>
    <t>South Buckinghamshire District Council</t>
  </si>
  <si>
    <t>South Cambridgeshire District Council</t>
  </si>
  <si>
    <t>South Derbyshire District Council</t>
  </si>
  <si>
    <t>South Gloucestershire Council</t>
  </si>
  <si>
    <t>South Hams District Council</t>
  </si>
  <si>
    <t>South Holland District Council</t>
  </si>
  <si>
    <t>South Kesteven District Council</t>
  </si>
  <si>
    <t>South Lakeland District Council</t>
  </si>
  <si>
    <t>South Norfolk District Council</t>
  </si>
  <si>
    <t>South Northamptonshire Council</t>
  </si>
  <si>
    <t>South Oxfordshire District Council</t>
  </si>
  <si>
    <t>South Ribble Borough Council</t>
  </si>
  <si>
    <t>South Somerset District Council</t>
  </si>
  <si>
    <t>South Staffordshire Council</t>
  </si>
  <si>
    <t>South Tyneside Council</t>
  </si>
  <si>
    <t>Southampton City Council</t>
  </si>
  <si>
    <t>Southend-on-Sea Borough Council</t>
  </si>
  <si>
    <t>Spelthorne Borough Council</t>
  </si>
  <si>
    <t>St Albans City and District Council</t>
  </si>
  <si>
    <t>St Edmundsbury Borough Council</t>
  </si>
  <si>
    <t>St Helens Metropolitan Borough Council</t>
  </si>
  <si>
    <t>Stafford Borough Council</t>
  </si>
  <si>
    <t>Staffordshire County Council</t>
  </si>
  <si>
    <t>Staffordshire Moorlands District Council</t>
  </si>
  <si>
    <t>Stevenage Borough Council</t>
  </si>
  <si>
    <t>Stockport Metropolitan Borough Council</t>
  </si>
  <si>
    <t>Stockton-on-Tees Borough Council</t>
  </si>
  <si>
    <t>Stoke-on-Trent City Council</t>
  </si>
  <si>
    <t>Strabane District Council</t>
  </si>
  <si>
    <t>Stratford-on-Avon District Council</t>
  </si>
  <si>
    <t>Stroud District Council</t>
  </si>
  <si>
    <t>Suffolk Coastal District Council</t>
  </si>
  <si>
    <t>Suffolk County Council</t>
  </si>
  <si>
    <t>Sunderland City Council</t>
  </si>
  <si>
    <t>Surrey County Council</t>
  </si>
  <si>
    <t>Surrey Heath Borough Council</t>
  </si>
  <si>
    <t>Swale Borough Council</t>
  </si>
  <si>
    <t>Swansea City and Borough Council</t>
  </si>
  <si>
    <t>Swindon Borough Council</t>
  </si>
  <si>
    <t>Tameside Metropolitan Borough Council</t>
  </si>
  <si>
    <t>Tamworth Borough Council</t>
  </si>
  <si>
    <t>Tandridge District Council</t>
  </si>
  <si>
    <t>Taunton Deane Borough Council</t>
  </si>
  <si>
    <t>Teignbridge District Council</t>
  </si>
  <si>
    <t>Telford &amp; Wrekin Council</t>
  </si>
  <si>
    <t>Tendring District Council</t>
  </si>
  <si>
    <t>Test Valley Borough Council</t>
  </si>
  <si>
    <t>Tewkesbury Borough Council</t>
  </si>
  <si>
    <t>Thanet District Council</t>
  </si>
  <si>
    <t>Three Rivers District Council</t>
  </si>
  <si>
    <t>Thurrock Council</t>
  </si>
  <si>
    <t>Tonbridge and Malling Borough Council</t>
  </si>
  <si>
    <t>Torbay Council</t>
  </si>
  <si>
    <t>Torfaen County Borough Council</t>
  </si>
  <si>
    <t>Torridge District Council</t>
  </si>
  <si>
    <t>Trafford Metropolitan Borough Council</t>
  </si>
  <si>
    <t>Tunbridge Wells Borough Council</t>
  </si>
  <si>
    <t>Uttlesford District Council</t>
  </si>
  <si>
    <t>Vale of Glamorgan Council</t>
  </si>
  <si>
    <t>Vale of White Horse District Council</t>
  </si>
  <si>
    <t>Wakefield Metropolitan District Council</t>
  </si>
  <si>
    <t>Walsall Metropolitan Borough Council</t>
  </si>
  <si>
    <t>Warrington Borough Council</t>
  </si>
  <si>
    <t>Warwick District Council</t>
  </si>
  <si>
    <t>Warwickshire County Council</t>
  </si>
  <si>
    <t>Watford Borough Council</t>
  </si>
  <si>
    <t>Waveney District Council</t>
  </si>
  <si>
    <t>Waverley Borough Council</t>
  </si>
  <si>
    <t>Wealden District Council</t>
  </si>
  <si>
    <t>Wellingborough Borough Council</t>
  </si>
  <si>
    <t>Welwyn Hatfield Council</t>
  </si>
  <si>
    <t>West Berkshire Council</t>
  </si>
  <si>
    <t>West Devon Borough Council</t>
  </si>
  <si>
    <t>West Dorset District Council</t>
  </si>
  <si>
    <t>West Lancashire Borough Council</t>
  </si>
  <si>
    <t>West Lindsey District Council</t>
  </si>
  <si>
    <t>West Oxfordshire District Council</t>
  </si>
  <si>
    <t>West Somerset District Council</t>
  </si>
  <si>
    <t>West Sussex County Council</t>
  </si>
  <si>
    <t>Westminster City Council</t>
  </si>
  <si>
    <t>Weymouth and Portland Borough Council</t>
  </si>
  <si>
    <t>Wigan Metropolitan Borough Council</t>
  </si>
  <si>
    <t>Wiltshire Council</t>
  </si>
  <si>
    <t>Winchester City Council</t>
  </si>
  <si>
    <t>Wirral Council</t>
  </si>
  <si>
    <t>Woking Borough Council</t>
  </si>
  <si>
    <t>Wokingham Borough Council</t>
  </si>
  <si>
    <t>Wolverhampton City Council</t>
  </si>
  <si>
    <t>Worcester City Council</t>
  </si>
  <si>
    <t>Worcestershire County Council</t>
  </si>
  <si>
    <t>Wrexham County Borough Council</t>
  </si>
  <si>
    <t>Wychavon District Council</t>
  </si>
  <si>
    <t>Wycombe District Council</t>
  </si>
  <si>
    <t>Wyre Council</t>
  </si>
  <si>
    <t>Wyre Forest District Council</t>
  </si>
  <si>
    <t>12. Version history</t>
  </si>
  <si>
    <t>Small sites metric version history</t>
  </si>
  <si>
    <t>Version</t>
  </si>
  <si>
    <t>Changes made</t>
  </si>
  <si>
    <t>Date released</t>
  </si>
  <si>
    <t>Version 1.0.0</t>
  </si>
  <si>
    <t>Initial statutory version</t>
  </si>
  <si>
    <t>29th November 2023</t>
  </si>
  <si>
    <t>Version 1.0.1</t>
  </si>
  <si>
    <t>Updated to correct some labelling errors, minor forumla errors and expand column widths</t>
  </si>
  <si>
    <t>12th February 2024</t>
  </si>
  <si>
    <t>Version 1.2.0</t>
  </si>
  <si>
    <t>Fixed some discrepancies in difficulty of creation and enhancement for 3 habitat types</t>
  </si>
  <si>
    <t>5th March 2024</t>
  </si>
  <si>
    <t>Version 1.2.1</t>
  </si>
  <si>
    <t xml:space="preserve">Unlocked Strategic Significance selection box for individual trees. Locked additional cells. Added version history. European protected species added to desktop assessment tab. Setting a unit target with a zero unit baseline is now optional for each module. The options for planning application type have been restricted. </t>
  </si>
  <si>
    <t>23rd July 2024</t>
  </si>
  <si>
    <t>Version 1.2.2</t>
  </si>
  <si>
    <t>Fix made to error specific to Version 1.2.1 relating to area checker on Area Habitats tab.</t>
  </si>
  <si>
    <t>24th July 2024</t>
  </si>
  <si>
    <t>13. Habitats Translation</t>
  </si>
  <si>
    <t>BNG Group</t>
  </si>
  <si>
    <t>Landsacpe Term</t>
  </si>
  <si>
    <t>Unique Landscape Term (inc. BNG Code)</t>
  </si>
  <si>
    <t>BNG Habitat</t>
  </si>
  <si>
    <t xml:space="preserve">Coastal saltmarsh </t>
  </si>
  <si>
    <t>Saltmarsh</t>
  </si>
  <si>
    <t>Saltmarsh - A2.5</t>
  </si>
  <si>
    <t>Saltmarshes and saline reedbeds</t>
  </si>
  <si>
    <t>Arable - c1c</t>
  </si>
  <si>
    <t>Arable - c1c7</t>
  </si>
  <si>
    <t>Cereal crops other</t>
  </si>
  <si>
    <t>Arable - c1d</t>
  </si>
  <si>
    <t>Arable - c1b</t>
  </si>
  <si>
    <t>Cropland margins</t>
  </si>
  <si>
    <t>Arable - c1a7</t>
  </si>
  <si>
    <t>Arable - c1a8</t>
  </si>
  <si>
    <t>Arable - c1a6</t>
  </si>
  <si>
    <t>Arable field margins pollen &amp; nectar</t>
  </si>
  <si>
    <t>Arable - c1a</t>
  </si>
  <si>
    <t>Arable - c1c5</t>
  </si>
  <si>
    <t>Cereal crops winter stubble</t>
  </si>
  <si>
    <t>Horticulture - c1f</t>
  </si>
  <si>
    <t>Orchard</t>
  </si>
  <si>
    <t>Orchard - c1e</t>
  </si>
  <si>
    <t>grassland</t>
  </si>
  <si>
    <t>Amenity Grassland</t>
  </si>
  <si>
    <t>Amenity Grassland - g4</t>
  </si>
  <si>
    <t>Bracken - g1c</t>
  </si>
  <si>
    <t>Meadow Grassland</t>
  </si>
  <si>
    <t>Meadow Grassland - g1d</t>
  </si>
  <si>
    <t>Meadow Grassland - g3c</t>
  </si>
  <si>
    <t>Meadow Grassland - g1b</t>
  </si>
  <si>
    <t>Invasive Scrub</t>
  </si>
  <si>
    <t>Invasive Scrub - h3g</t>
  </si>
  <si>
    <t>Native Scrub</t>
  </si>
  <si>
    <t>Native Scrub - h3a</t>
  </si>
  <si>
    <t>Native Scrub - h3d</t>
  </si>
  <si>
    <t>Native Scrub - h3e</t>
  </si>
  <si>
    <t>Native Scrub - h3f</t>
  </si>
  <si>
    <t>Native Scrub - h3b</t>
  </si>
  <si>
    <t>Native Scrub - h3h</t>
  </si>
  <si>
    <t>Native Scrub - h3cNE2</t>
  </si>
  <si>
    <t>Sea buckthorn scrub (other)</t>
  </si>
  <si>
    <t>Hedgerow</t>
  </si>
  <si>
    <t>Native Hedge</t>
  </si>
  <si>
    <t>Native Hedge - h2NE5</t>
  </si>
  <si>
    <t>Native Hedgerow</t>
  </si>
  <si>
    <t>Native Hedge - h2NE2</t>
  </si>
  <si>
    <t>Native Species Rich Hedgerow</t>
  </si>
  <si>
    <t>Native Hedge - h2NE9</t>
  </si>
  <si>
    <t>Native Hedgerow - Associated with bank or ditch</t>
  </si>
  <si>
    <t>Native Hedge with Standard Trees</t>
  </si>
  <si>
    <t>Native Hedge with Standard Trees - h2NE4</t>
  </si>
  <si>
    <t>Native Hedgerow with trees</t>
  </si>
  <si>
    <t>Native Hedge with Standard Trees - h2NE1</t>
  </si>
  <si>
    <t>Native Species Rich Hedgerow with trees</t>
  </si>
  <si>
    <t>Native Hedge with Standard Trees - h2NE8</t>
  </si>
  <si>
    <t>Native Hedgerow with trees - Associated with bank or ditch</t>
  </si>
  <si>
    <t>Ornamental Hedge</t>
  </si>
  <si>
    <t>Ornamental Hedge - h2NE3</t>
  </si>
  <si>
    <t>Hedge Ornamental Non Native</t>
  </si>
  <si>
    <t>Standard Trees</t>
  </si>
  <si>
    <t>Standard Trees - w1g6NE4</t>
  </si>
  <si>
    <t>Line of Trees - Associated with bank or ditch</t>
  </si>
  <si>
    <t>Standard Trees - w1g6NE2</t>
  </si>
  <si>
    <t>Line of Trees</t>
  </si>
  <si>
    <t>Standard Trees - w1g6NE1</t>
  </si>
  <si>
    <t>Line of Trees (Ecologically Valuable) - with Bank or Ditch</t>
  </si>
  <si>
    <t>Standard Trees - w1g6NE3</t>
  </si>
  <si>
    <t>Line of Trees (Ecologically Valuable)</t>
  </si>
  <si>
    <t>Intertidal Hard Structures</t>
  </si>
  <si>
    <t>INTERTIDAL TBC</t>
  </si>
  <si>
    <t>INTERTIDAL TBC - ART_A1.4</t>
  </si>
  <si>
    <t>low</t>
  </si>
  <si>
    <t>INTERTIDAL TBC - ART_A1</t>
  </si>
  <si>
    <t>INTERTIDAL TBC - ART_A1_IGGI</t>
  </si>
  <si>
    <t>Artificial hard structures with Integrated Greening of Grey Infrastructure (IGGI)</t>
  </si>
  <si>
    <t>INTERTIDAL TBC - ART_A2.7</t>
  </si>
  <si>
    <t>INTERTIDAL TBC - ART_A2.1</t>
  </si>
  <si>
    <t>INTERTIDAL TBC - ART_A2.4</t>
  </si>
  <si>
    <t>INTERTIDAL TBC - ART_A2.3</t>
  </si>
  <si>
    <t>INTERTIDAL TBC - ART_A2.24</t>
  </si>
  <si>
    <t>INTERTIDAL TBC - ART_A2.21</t>
  </si>
  <si>
    <t>INTERTIDAL TBC - ART_A2.6</t>
  </si>
  <si>
    <t>INTERTIDAL TBC - A2.4</t>
  </si>
  <si>
    <t>Littoral mixed sediments</t>
  </si>
  <si>
    <t>INTERTIDAL TBC - A2.24</t>
  </si>
  <si>
    <t>Littoral muddy sand</t>
  </si>
  <si>
    <t>INTERTIDAL TBC - A2.21</t>
  </si>
  <si>
    <t>Reservoirs - 108</t>
  </si>
  <si>
    <t>Wildlfe Pond</t>
  </si>
  <si>
    <t>Wildlfe Pond - r1b</t>
  </si>
  <si>
    <t>Ponds (Non- Priority Habitat)</t>
  </si>
  <si>
    <t>Rivers &amp; Streams</t>
  </si>
  <si>
    <t>Canal</t>
  </si>
  <si>
    <t>Canal - r1eNE1</t>
  </si>
  <si>
    <t>Culvert - rNE1</t>
  </si>
  <si>
    <t>Ditch</t>
  </si>
  <si>
    <t>Ditch - r1eNE2</t>
  </si>
  <si>
    <t>Ruderals</t>
  </si>
  <si>
    <t>Ruderals - 17</t>
  </si>
  <si>
    <t>Scree</t>
  </si>
  <si>
    <t>Scree - s1d</t>
  </si>
  <si>
    <t>Allotments - 910</t>
  </si>
  <si>
    <t>Bareground</t>
  </si>
  <si>
    <t>Bareground - 350</t>
  </si>
  <si>
    <t>Vacant/derelict land/ bareground</t>
  </si>
  <si>
    <t>Biodiverse Roof</t>
  </si>
  <si>
    <t>Biodiverse Roof - 1113</t>
  </si>
  <si>
    <t>Brown roof</t>
  </si>
  <si>
    <t>Bioswale - 1191</t>
  </si>
  <si>
    <t>Cemetery</t>
  </si>
  <si>
    <t>Cemetery - 800</t>
  </si>
  <si>
    <t>Garden</t>
  </si>
  <si>
    <t>Garden - 231</t>
  </si>
  <si>
    <t>Garden - 232</t>
  </si>
  <si>
    <t>Un-vegetated garden</t>
  </si>
  <si>
    <t>Green Roof</t>
  </si>
  <si>
    <t>Green Roof - 1111</t>
  </si>
  <si>
    <t>Extensive green roof</t>
  </si>
  <si>
    <t>Green Roof - Sedum</t>
  </si>
  <si>
    <t>Green Roof - Sedum - 1112</t>
  </si>
  <si>
    <t>Green Wall</t>
  </si>
  <si>
    <t>Green Wall - 1122</t>
  </si>
  <si>
    <t>Green Wall - 1121</t>
  </si>
  <si>
    <t>Impermeable Hardscape</t>
  </si>
  <si>
    <t>Impermeable Hardscape - u1b</t>
  </si>
  <si>
    <t>Ornamental Pond</t>
  </si>
  <si>
    <t>Ornamental Pond - 362</t>
  </si>
  <si>
    <t>Ornamental Shrub Planting</t>
  </si>
  <si>
    <t>Ornamental Shrub Planting - 1160</t>
  </si>
  <si>
    <t>Permeable Hardscape</t>
  </si>
  <si>
    <t>Permeable Hardscape - u1c</t>
  </si>
  <si>
    <t>Planters</t>
  </si>
  <si>
    <t>Planters - 1140</t>
  </si>
  <si>
    <t>Quarry</t>
  </si>
  <si>
    <t>Quarry - 1030</t>
  </si>
  <si>
    <t>Sand pit quarry or open cast mine</t>
  </si>
  <si>
    <t>Standard Tree</t>
  </si>
  <si>
    <t>Standard Tree - 1170</t>
  </si>
  <si>
    <t>Urban Tree</t>
  </si>
  <si>
    <t>SUDS</t>
  </si>
  <si>
    <t>SUDS - 1192</t>
  </si>
  <si>
    <t>SUDS - 1119</t>
  </si>
  <si>
    <t>Sustainable urban drainage feature</t>
  </si>
  <si>
    <t>Wall</t>
  </si>
  <si>
    <t>Wall - u1e</t>
  </si>
  <si>
    <t>Conifer Woodland</t>
  </si>
  <si>
    <t>Conifer Woodland - w2c</t>
  </si>
  <si>
    <t>Conifer Woodland - w2b</t>
  </si>
  <si>
    <t>Other Scot's Pine woodland</t>
  </si>
  <si>
    <t>Native Broadleaved Woodland</t>
  </si>
  <si>
    <t>Native Broadleaved Woodland - w1g</t>
  </si>
  <si>
    <t>Native Mixed Woodland</t>
  </si>
  <si>
    <t>Native Mixed Woodland - w1h</t>
  </si>
</sst>
</file>

<file path=xl/styles.xml><?xml version="1.0" encoding="utf-8"?>
<styleSheet xmlns="http://schemas.openxmlformats.org/spreadsheetml/2006/main">
  <numFmts count="5">
    <numFmt numFmtId="0" formatCode="General"/>
    <numFmt numFmtId="59" formatCode="dddd&quot;, &quot;mmmm&quot; &quot;dd&quot;, &quot;yyyy"/>
    <numFmt numFmtId="60" formatCode="0.0000"/>
    <numFmt numFmtId="61" formatCode="0.000"/>
    <numFmt numFmtId="62" formatCode="&quot; &quot;[$£-809]* #,##0&quot; &quot;;&quot;-&quot;[$£-809]* #,##0&quot; &quot;;&quot; &quot;[$£-809]* &quot;-&quot;??&quot; &quot;"/>
  </numFmts>
  <fonts count="48">
    <font>
      <sz val="11"/>
      <color indexed="8"/>
      <name val="Calibri"/>
    </font>
    <font>
      <sz val="12"/>
      <color indexed="8"/>
      <name val="Calibri"/>
    </font>
    <font>
      <sz val="14"/>
      <color indexed="8"/>
      <name val="Calibri"/>
    </font>
    <font>
      <sz val="12"/>
      <color indexed="8"/>
      <name val="Helvetica Neue"/>
    </font>
    <font>
      <u val="single"/>
      <sz val="12"/>
      <color indexed="11"/>
      <name val="Calibri"/>
    </font>
    <font>
      <sz val="15"/>
      <color indexed="8"/>
      <name val="Calibri"/>
    </font>
    <font>
      <b val="1"/>
      <sz val="11"/>
      <color indexed="14"/>
      <name val="Calibri"/>
    </font>
    <font>
      <sz val="11"/>
      <color indexed="12"/>
      <name val="Calibri"/>
    </font>
    <font>
      <b val="1"/>
      <sz val="24"/>
      <color indexed="8"/>
      <name val="Calibri"/>
    </font>
    <font>
      <b val="1"/>
      <sz val="20"/>
      <color indexed="8"/>
      <name val="Calibri"/>
    </font>
    <font>
      <b val="1"/>
      <sz val="11"/>
      <color indexed="8"/>
      <name val="Calibri"/>
    </font>
    <font>
      <b val="1"/>
      <sz val="14"/>
      <color indexed="8"/>
      <name val="Calibri"/>
    </font>
    <font>
      <b val="1"/>
      <sz val="16"/>
      <color indexed="8"/>
      <name val="Calibri"/>
    </font>
    <font>
      <b val="1"/>
      <sz val="12"/>
      <color indexed="8"/>
      <name val="Calibri"/>
    </font>
    <font>
      <sz val="12"/>
      <color indexed="15"/>
      <name val="Calibri"/>
    </font>
    <font>
      <b val="1"/>
      <sz val="14"/>
      <color indexed="15"/>
      <name val="Calibri"/>
    </font>
    <font>
      <b val="1"/>
      <u val="single"/>
      <sz val="16"/>
      <color indexed="8"/>
      <name val="Calibri"/>
    </font>
    <font>
      <b val="1"/>
      <i val="1"/>
      <sz val="14"/>
      <color indexed="15"/>
      <name val="Calibri"/>
    </font>
    <font>
      <b val="1"/>
      <u val="single"/>
      <sz val="14"/>
      <color indexed="8"/>
      <name val="Calibri"/>
    </font>
    <font>
      <b val="1"/>
      <sz val="28"/>
      <color indexed="8"/>
      <name val="Calibri"/>
    </font>
    <font>
      <sz val="11"/>
      <color indexed="27"/>
      <name val="Calibri"/>
    </font>
    <font>
      <b val="1"/>
      <vertAlign val="superscript"/>
      <sz val="14"/>
      <color indexed="15"/>
      <name val="Calibri"/>
    </font>
    <font>
      <sz val="14"/>
      <color indexed="27"/>
      <name val="Calibri"/>
    </font>
    <font>
      <u val="single"/>
      <sz val="11"/>
      <color indexed="8"/>
      <name val="Calibri"/>
    </font>
    <font>
      <b val="1"/>
      <sz val="12"/>
      <color indexed="15"/>
      <name val="Calibri"/>
    </font>
    <font>
      <b val="1"/>
      <sz val="22"/>
      <color indexed="8"/>
      <name val="Calibri"/>
    </font>
    <font>
      <sz val="11"/>
      <color indexed="14"/>
      <name val="Calibri"/>
    </font>
    <font>
      <sz val="12"/>
      <color indexed="14"/>
      <name val="Calibri"/>
    </font>
    <font>
      <b val="1"/>
      <vertAlign val="superscript"/>
      <sz val="12"/>
      <color indexed="15"/>
      <name val="Calibri"/>
    </font>
    <font>
      <b val="1"/>
      <sz val="11"/>
      <color indexed="15"/>
      <name val="Calibri"/>
    </font>
    <font>
      <sz val="11"/>
      <color indexed="37"/>
      <name val="Calibri"/>
    </font>
    <font>
      <sz val="11"/>
      <color indexed="39"/>
      <name val="Calibri"/>
    </font>
    <font>
      <sz val="11"/>
      <color indexed="8"/>
      <name val="Abadi Extra Light"/>
    </font>
    <font>
      <sz val="12"/>
      <color indexed="8"/>
      <name val="Segoe UI Symbol"/>
    </font>
    <font>
      <b val="1"/>
      <sz val="10"/>
      <color indexed="15"/>
      <name val="Calibri"/>
    </font>
    <font>
      <b val="1"/>
      <sz val="11"/>
      <color indexed="12"/>
      <name val="Calibri"/>
    </font>
    <font>
      <sz val="11"/>
      <color indexed="15"/>
      <name val="Calibri"/>
    </font>
    <font>
      <b val="1"/>
      <sz val="14"/>
      <color indexed="26"/>
      <name val="Calibri"/>
    </font>
    <font>
      <sz val="12"/>
      <color indexed="12"/>
      <name val="Calibri"/>
    </font>
    <font>
      <b val="1"/>
      <sz val="14"/>
      <color indexed="45"/>
      <name val="Calibri"/>
    </font>
    <font>
      <i val="1"/>
      <sz val="14"/>
      <color indexed="15"/>
      <name val="Calibri"/>
    </font>
    <font>
      <sz val="10"/>
      <color indexed="8"/>
      <name val="Calibri"/>
    </font>
    <font>
      <sz val="14"/>
      <color indexed="47"/>
      <name val="Calibri"/>
    </font>
    <font>
      <sz val="12"/>
      <color indexed="47"/>
      <name val="Calibri"/>
    </font>
    <font>
      <sz val="10"/>
      <color indexed="8"/>
      <name val="Arial"/>
    </font>
    <font>
      <b val="1"/>
      <sz val="10"/>
      <color indexed="15"/>
      <name val="Arial"/>
    </font>
    <font>
      <b val="1"/>
      <sz val="22"/>
      <color indexed="15"/>
      <name val="Calibri"/>
    </font>
    <font>
      <sz val="11"/>
      <color indexed="55"/>
      <name val="Calibri"/>
    </font>
  </fonts>
  <fills count="36">
    <fill>
      <patternFill patternType="none"/>
    </fill>
    <fill>
      <patternFill patternType="gray125"/>
    </fill>
    <fill>
      <patternFill patternType="solid">
        <fgColor indexed="9"/>
        <bgColor auto="1"/>
      </patternFill>
    </fill>
    <fill>
      <patternFill patternType="solid">
        <fgColor indexed="10"/>
        <bgColor auto="1"/>
      </patternFill>
    </fill>
    <fill>
      <patternFill patternType="solid">
        <fgColor indexed="12"/>
        <bgColor auto="1"/>
      </patternFill>
    </fill>
    <fill>
      <patternFill patternType="solid">
        <fgColor indexed="15"/>
        <bgColor auto="1"/>
      </patternFill>
    </fill>
    <fill>
      <patternFill patternType="solid">
        <fgColor indexed="16"/>
        <bgColor auto="1"/>
      </patternFill>
    </fill>
    <fill>
      <patternFill patternType="solid">
        <fgColor indexed="17"/>
        <bgColor auto="1"/>
      </patternFill>
    </fill>
    <fill>
      <patternFill patternType="solid">
        <fgColor indexed="18"/>
        <bgColor auto="1"/>
      </patternFill>
    </fill>
    <fill>
      <patternFill patternType="solid">
        <fgColor indexed="19"/>
        <bgColor auto="1"/>
      </patternFill>
    </fill>
    <fill>
      <patternFill patternType="solid">
        <fgColor indexed="20"/>
        <bgColor auto="1"/>
      </patternFill>
    </fill>
    <fill>
      <patternFill patternType="solid">
        <fgColor indexed="21"/>
        <bgColor auto="1"/>
      </patternFill>
    </fill>
    <fill>
      <patternFill patternType="solid">
        <fgColor indexed="22"/>
        <bgColor auto="1"/>
      </patternFill>
    </fill>
    <fill>
      <patternFill patternType="solid">
        <fgColor indexed="23"/>
        <bgColor auto="1"/>
      </patternFill>
    </fill>
    <fill>
      <patternFill patternType="solid">
        <fgColor indexed="24"/>
        <bgColor auto="1"/>
      </patternFill>
    </fill>
    <fill>
      <patternFill patternType="solid">
        <fgColor indexed="28"/>
        <bgColor auto="1"/>
      </patternFill>
    </fill>
    <fill>
      <patternFill patternType="solid">
        <fgColor indexed="29"/>
        <bgColor auto="1"/>
      </patternFill>
    </fill>
    <fill>
      <patternFill patternType="solid">
        <fgColor indexed="30"/>
        <bgColor auto="1"/>
      </patternFill>
    </fill>
    <fill>
      <patternFill patternType="solid">
        <fgColor indexed="31"/>
        <bgColor auto="1"/>
      </patternFill>
    </fill>
    <fill>
      <patternFill patternType="solid">
        <fgColor indexed="33"/>
        <bgColor auto="1"/>
      </patternFill>
    </fill>
    <fill>
      <patternFill patternType="solid">
        <fgColor indexed="34"/>
        <bgColor auto="1"/>
      </patternFill>
    </fill>
    <fill>
      <patternFill patternType="solid">
        <fgColor indexed="35"/>
        <bgColor auto="1"/>
      </patternFill>
    </fill>
    <fill>
      <patternFill patternType="solid">
        <fgColor indexed="38"/>
        <bgColor auto="1"/>
      </patternFill>
    </fill>
    <fill>
      <patternFill patternType="solid">
        <fgColor indexed="40"/>
        <bgColor auto="1"/>
      </patternFill>
    </fill>
    <fill>
      <patternFill patternType="solid">
        <fgColor indexed="41"/>
        <bgColor auto="1"/>
      </patternFill>
    </fill>
    <fill>
      <patternFill patternType="solid">
        <fgColor indexed="42"/>
        <bgColor auto="1"/>
      </patternFill>
    </fill>
    <fill>
      <patternFill patternType="solid">
        <fgColor indexed="43"/>
        <bgColor auto="1"/>
      </patternFill>
    </fill>
    <fill>
      <patternFill patternType="solid">
        <fgColor indexed="26"/>
        <bgColor auto="1"/>
      </patternFill>
    </fill>
    <fill>
      <patternFill patternType="solid">
        <fgColor indexed="45"/>
        <bgColor auto="1"/>
      </patternFill>
    </fill>
    <fill>
      <patternFill patternType="solid">
        <fgColor indexed="46"/>
        <bgColor auto="1"/>
      </patternFill>
    </fill>
    <fill>
      <patternFill patternType="solid">
        <fgColor indexed="50"/>
        <bgColor auto="1"/>
      </patternFill>
    </fill>
    <fill>
      <patternFill patternType="solid">
        <fgColor indexed="51"/>
        <bgColor auto="1"/>
      </patternFill>
    </fill>
    <fill>
      <patternFill patternType="solid">
        <fgColor indexed="52"/>
        <bgColor auto="1"/>
      </patternFill>
    </fill>
    <fill>
      <patternFill patternType="solid">
        <fgColor indexed="36"/>
        <bgColor auto="1"/>
      </patternFill>
    </fill>
    <fill>
      <patternFill patternType="solid">
        <fgColor indexed="53"/>
        <bgColor auto="1"/>
      </patternFill>
    </fill>
    <fill>
      <patternFill patternType="solid">
        <fgColor indexed="54"/>
        <bgColor auto="1"/>
      </patternFill>
    </fill>
  </fills>
  <borders count="143">
    <border>
      <left/>
      <right/>
      <top/>
      <bottom/>
      <diagonal/>
    </border>
    <border>
      <left style="thin">
        <color indexed="13"/>
      </left>
      <right/>
      <top style="thin">
        <color indexed="13"/>
      </top>
      <bottom/>
      <diagonal/>
    </border>
    <border>
      <left/>
      <right/>
      <top style="thin">
        <color indexed="13"/>
      </top>
      <bottom/>
      <diagonal/>
    </border>
    <border>
      <left style="thin">
        <color indexed="13"/>
      </left>
      <right/>
      <top/>
      <bottom/>
      <diagonal/>
    </border>
    <border>
      <left/>
      <right/>
      <top/>
      <bottom/>
      <diagonal/>
    </border>
    <border>
      <left/>
      <right/>
      <top/>
      <bottom style="medium">
        <color indexed="8"/>
      </bottom>
      <diagonal/>
    </border>
    <border>
      <left style="thin">
        <color indexed="13"/>
      </left>
      <right style="medium">
        <color indexed="8"/>
      </right>
      <top/>
      <bottom/>
      <diagonal/>
    </border>
    <border>
      <left style="medium">
        <color indexed="8"/>
      </left>
      <right style="thin">
        <color indexed="13"/>
      </right>
      <top style="medium">
        <color indexed="8"/>
      </top>
      <bottom style="thin">
        <color indexed="13"/>
      </bottom>
      <diagonal/>
    </border>
    <border>
      <left style="thin">
        <color indexed="13"/>
      </left>
      <right style="thin">
        <color indexed="8"/>
      </right>
      <top style="medium">
        <color indexed="8"/>
      </top>
      <bottom style="thin">
        <color indexed="13"/>
      </bottom>
      <diagonal/>
    </border>
    <border>
      <left style="thin">
        <color indexed="8"/>
      </left>
      <right/>
      <top style="medium">
        <color indexed="8"/>
      </top>
      <bottom/>
      <diagonal/>
    </border>
    <border>
      <left/>
      <right/>
      <top style="medium">
        <color indexed="8"/>
      </top>
      <bottom/>
      <diagonal/>
    </border>
    <border>
      <left/>
      <right style="medium">
        <color indexed="8"/>
      </right>
      <top style="medium">
        <color indexed="8"/>
      </top>
      <bottom/>
      <diagonal/>
    </border>
    <border>
      <left style="medium">
        <color indexed="8"/>
      </left>
      <right/>
      <top/>
      <bottom/>
      <diagonal/>
    </border>
    <border>
      <left style="medium">
        <color indexed="8"/>
      </left>
      <right style="thin">
        <color indexed="13"/>
      </right>
      <top style="thin">
        <color indexed="13"/>
      </top>
      <bottom style="thin">
        <color indexed="8"/>
      </bottom>
      <diagonal/>
    </border>
    <border>
      <left style="thin">
        <color indexed="13"/>
      </left>
      <right style="thin">
        <color indexed="8"/>
      </right>
      <top style="thin">
        <color indexed="13"/>
      </top>
      <bottom style="thin">
        <color indexed="8"/>
      </bottom>
      <diagonal/>
    </border>
    <border>
      <left style="thin">
        <color indexed="8"/>
      </left>
      <right/>
      <top/>
      <bottom style="thin">
        <color indexed="8"/>
      </bottom>
      <diagonal/>
    </border>
    <border>
      <left/>
      <right/>
      <top/>
      <bottom style="thin">
        <color indexed="8"/>
      </bottom>
      <diagonal/>
    </border>
    <border>
      <left/>
      <right style="medium">
        <color indexed="8"/>
      </right>
      <top/>
      <bottom style="thin">
        <color indexed="8"/>
      </bottom>
      <diagonal/>
    </border>
    <border>
      <left style="medium">
        <color indexed="8"/>
      </left>
      <right/>
      <top style="thin">
        <color indexed="8"/>
      </top>
      <bottom/>
      <diagonal/>
    </border>
    <border>
      <left/>
      <right style="thin">
        <color indexed="8"/>
      </right>
      <top style="thin">
        <color indexed="8"/>
      </top>
      <bottom/>
      <diagonal/>
    </border>
    <border>
      <left style="thin">
        <color indexed="8"/>
      </left>
      <right/>
      <top style="thin">
        <color indexed="8"/>
      </top>
      <bottom/>
      <diagonal/>
    </border>
    <border>
      <left/>
      <right/>
      <top style="thin">
        <color indexed="8"/>
      </top>
      <bottom/>
      <diagonal/>
    </border>
    <border>
      <left/>
      <right style="medium">
        <color indexed="8"/>
      </right>
      <top style="thin">
        <color indexed="8"/>
      </top>
      <bottom/>
      <diagonal/>
    </border>
    <border>
      <left style="medium">
        <color indexed="8"/>
      </left>
      <right/>
      <top/>
      <bottom style="thin">
        <color indexed="8"/>
      </bottom>
      <diagonal/>
    </border>
    <border>
      <left/>
      <right style="thin">
        <color indexed="8"/>
      </right>
      <top/>
      <bottom style="thin">
        <color indexed="8"/>
      </bottom>
      <diagonal/>
    </border>
    <border>
      <left style="medium">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medium">
        <color indexed="8"/>
      </right>
      <top style="thin">
        <color indexed="8"/>
      </top>
      <bottom style="thin">
        <color indexed="8"/>
      </bottom>
      <diagonal/>
    </border>
    <border>
      <left style="medium">
        <color indexed="8"/>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medium">
        <color indexed="8"/>
      </right>
      <top style="thin">
        <color indexed="8"/>
      </top>
      <bottom style="thin">
        <color indexed="8"/>
      </bottom>
      <diagonal/>
    </border>
    <border>
      <left style="medium">
        <color indexed="8"/>
      </left>
      <right style="thin">
        <color indexed="8"/>
      </right>
      <top style="thin">
        <color indexed="8"/>
      </top>
      <bottom style="medium">
        <color indexed="8"/>
      </bottom>
      <diagonal/>
    </border>
    <border>
      <left style="thin">
        <color indexed="8"/>
      </left>
      <right style="thin">
        <color indexed="8"/>
      </right>
      <top style="thin">
        <color indexed="8"/>
      </top>
      <bottom style="medium">
        <color indexed="8"/>
      </bottom>
      <diagonal/>
    </border>
    <border>
      <left style="thin">
        <color indexed="8"/>
      </left>
      <right style="medium">
        <color indexed="8"/>
      </right>
      <top style="thin">
        <color indexed="8"/>
      </top>
      <bottom style="medium">
        <color indexed="8"/>
      </bottom>
      <diagonal/>
    </border>
    <border>
      <left style="thin">
        <color indexed="13"/>
      </left>
      <right style="thin">
        <color indexed="13"/>
      </right>
      <top/>
      <bottom style="thin">
        <color indexed="13"/>
      </bottom>
      <diagonal/>
    </border>
    <border>
      <left/>
      <right/>
      <top style="thin">
        <color indexed="13"/>
      </top>
      <bottom style="medium">
        <color indexed="8"/>
      </bottom>
      <diagonal/>
    </border>
    <border>
      <left/>
      <right style="thin">
        <color indexed="13"/>
      </right>
      <top style="thin">
        <color indexed="13"/>
      </top>
      <bottom/>
      <diagonal/>
    </border>
    <border>
      <left style="medium">
        <color indexed="8"/>
      </left>
      <right/>
      <top style="medium">
        <color indexed="8"/>
      </top>
      <bottom style="medium">
        <color indexed="8"/>
      </bottom>
      <diagonal/>
    </border>
    <border>
      <left/>
      <right style="thin">
        <color indexed="8"/>
      </right>
      <top style="medium">
        <color indexed="8"/>
      </top>
      <bottom style="medium">
        <color indexed="8"/>
      </bottom>
      <diagonal/>
    </border>
    <border>
      <left style="thin">
        <color indexed="8"/>
      </left>
      <right style="medium">
        <color indexed="8"/>
      </right>
      <top style="medium">
        <color indexed="8"/>
      </top>
      <bottom style="medium">
        <color indexed="8"/>
      </bottom>
      <diagonal/>
    </border>
    <border>
      <left/>
      <right style="thin">
        <color indexed="13"/>
      </right>
      <top/>
      <bottom/>
      <diagonal/>
    </border>
    <border>
      <left style="medium">
        <color indexed="8"/>
      </left>
      <right/>
      <top style="medium">
        <color indexed="8"/>
      </top>
      <bottom style="thin">
        <color indexed="8"/>
      </bottom>
      <diagonal/>
    </border>
    <border>
      <left/>
      <right style="medium">
        <color indexed="8"/>
      </right>
      <top style="medium">
        <color indexed="8"/>
      </top>
      <bottom style="thin">
        <color indexed="8"/>
      </bottom>
      <diagonal/>
    </border>
    <border>
      <left style="medium">
        <color indexed="8"/>
      </left>
      <right style="medium">
        <color indexed="8"/>
      </right>
      <top style="medium">
        <color indexed="8"/>
      </top>
      <bottom style="thin">
        <color indexed="8"/>
      </bottom>
      <diagonal/>
    </border>
    <border>
      <left style="medium">
        <color indexed="8"/>
      </left>
      <right style="medium">
        <color indexed="8"/>
      </right>
      <top style="thin">
        <color indexed="8"/>
      </top>
      <bottom style="thin">
        <color indexed="8"/>
      </bottom>
      <diagonal/>
    </border>
    <border>
      <left style="medium">
        <color indexed="8"/>
      </left>
      <right/>
      <top style="thin">
        <color indexed="8"/>
      </top>
      <bottom style="medium">
        <color indexed="8"/>
      </bottom>
      <diagonal/>
    </border>
    <border>
      <left/>
      <right style="medium">
        <color indexed="8"/>
      </right>
      <top style="thin">
        <color indexed="8"/>
      </top>
      <bottom style="medium">
        <color indexed="8"/>
      </bottom>
      <diagonal/>
    </border>
    <border>
      <left style="medium">
        <color indexed="8"/>
      </left>
      <right style="medium">
        <color indexed="8"/>
      </right>
      <top style="thin">
        <color indexed="8"/>
      </top>
      <bottom style="medium">
        <color indexed="8"/>
      </bottom>
      <diagonal/>
    </border>
    <border>
      <left/>
      <right/>
      <top style="medium">
        <color indexed="8"/>
      </top>
      <bottom style="medium">
        <color indexed="8"/>
      </bottom>
      <diagonal/>
    </border>
    <border>
      <left style="medium">
        <color indexed="8"/>
      </left>
      <right style="medium">
        <color indexed="8"/>
      </right>
      <top style="medium">
        <color indexed="8"/>
      </top>
      <bottom/>
      <diagonal/>
    </border>
    <border>
      <left style="medium">
        <color indexed="8"/>
      </left>
      <right style="thin">
        <color indexed="8"/>
      </right>
      <top style="medium">
        <color indexed="8"/>
      </top>
      <bottom style="thin">
        <color indexed="8"/>
      </bottom>
      <diagonal/>
    </border>
    <border>
      <left style="thin">
        <color indexed="8"/>
      </left>
      <right style="medium">
        <color indexed="8"/>
      </right>
      <top style="medium">
        <color indexed="8"/>
      </top>
      <bottom style="thin">
        <color indexed="8"/>
      </bottom>
      <diagonal/>
    </border>
    <border>
      <left style="medium">
        <color indexed="8"/>
      </left>
      <right style="medium">
        <color indexed="8"/>
      </right>
      <top/>
      <bottom/>
      <diagonal/>
    </border>
    <border>
      <left style="medium">
        <color indexed="8"/>
      </left>
      <right style="medium">
        <color indexed="8"/>
      </right>
      <top/>
      <bottom style="medium">
        <color indexed="8"/>
      </bottom>
      <diagonal/>
    </border>
    <border>
      <left style="thin">
        <color indexed="13"/>
      </left>
      <right style="thin">
        <color indexed="13"/>
      </right>
      <top/>
      <bottom/>
      <diagonal/>
    </border>
    <border>
      <left style="thin">
        <color indexed="8"/>
      </left>
      <right style="thin">
        <color indexed="8"/>
      </right>
      <top style="medium">
        <color indexed="8"/>
      </top>
      <bottom style="thin">
        <color indexed="8"/>
      </bottom>
      <diagonal/>
    </border>
    <border>
      <left style="thin">
        <color indexed="8"/>
      </left>
      <right style="thin">
        <color indexed="13"/>
      </right>
      <top style="thin">
        <color indexed="8"/>
      </top>
      <bottom style="thin">
        <color indexed="8"/>
      </bottom>
      <diagonal/>
    </border>
    <border>
      <left style="thin">
        <color indexed="13"/>
      </left>
      <right style="medium">
        <color indexed="8"/>
      </right>
      <top style="thin">
        <color indexed="8"/>
      </top>
      <bottom style="thin">
        <color indexed="8"/>
      </bottom>
      <diagonal/>
    </border>
    <border>
      <left style="thin">
        <color indexed="8"/>
      </left>
      <right style="thin">
        <color indexed="13"/>
      </right>
      <top style="thin">
        <color indexed="8"/>
      </top>
      <bottom style="medium">
        <color indexed="8"/>
      </bottom>
      <diagonal/>
    </border>
    <border>
      <left style="thin">
        <color indexed="13"/>
      </left>
      <right style="medium">
        <color indexed="8"/>
      </right>
      <top style="thin">
        <color indexed="8"/>
      </top>
      <bottom style="medium">
        <color indexed="8"/>
      </bottom>
      <diagonal/>
    </border>
    <border>
      <left style="medium">
        <color indexed="8"/>
      </left>
      <right style="thin">
        <color indexed="8"/>
      </right>
      <top style="medium">
        <color indexed="8"/>
      </top>
      <bottom/>
      <diagonal/>
    </border>
    <border>
      <left style="thin">
        <color indexed="8"/>
      </left>
      <right style="thin">
        <color indexed="8"/>
      </right>
      <top style="medium">
        <color indexed="8"/>
      </top>
      <bottom/>
      <diagonal/>
    </border>
    <border>
      <left style="thin">
        <color indexed="8"/>
      </left>
      <right style="medium">
        <color indexed="8"/>
      </right>
      <top style="medium">
        <color indexed="8"/>
      </top>
      <bottom/>
      <diagonal/>
    </border>
    <border>
      <left style="medium">
        <color indexed="8"/>
      </left>
      <right style="thin">
        <color indexed="8"/>
      </right>
      <top style="medium">
        <color indexed="8"/>
      </top>
      <bottom style="medium">
        <color indexed="8"/>
      </bottom>
      <diagonal/>
    </border>
    <border>
      <left style="thin">
        <color indexed="8"/>
      </left>
      <right style="thin">
        <color indexed="8"/>
      </right>
      <top style="medium">
        <color indexed="8"/>
      </top>
      <bottom style="medium">
        <color indexed="8"/>
      </bottom>
      <diagonal/>
    </border>
    <border>
      <left style="thin">
        <color indexed="13"/>
      </left>
      <right style="thin">
        <color indexed="13"/>
      </right>
      <top style="thin">
        <color indexed="13"/>
      </top>
      <bottom/>
      <diagonal/>
    </border>
    <border>
      <left style="thin">
        <color indexed="13"/>
      </left>
      <right/>
      <top/>
      <bottom style="thin">
        <color indexed="13"/>
      </bottom>
      <diagonal/>
    </border>
    <border>
      <left/>
      <right/>
      <top/>
      <bottom style="thin">
        <color indexed="13"/>
      </bottom>
      <diagonal/>
    </border>
    <border>
      <left/>
      <right style="thin">
        <color indexed="13"/>
      </right>
      <top/>
      <bottom style="thin">
        <color indexed="13"/>
      </bottom>
      <diagonal/>
    </border>
    <border>
      <left/>
      <right style="medium">
        <color indexed="8"/>
      </right>
      <top style="thin">
        <color indexed="13"/>
      </top>
      <bottom/>
      <diagonal/>
    </border>
    <border>
      <left style="medium">
        <color indexed="8"/>
      </left>
      <right/>
      <top style="thin">
        <color indexed="13"/>
      </top>
      <bottom/>
      <diagonal/>
    </border>
    <border>
      <left style="thin">
        <color indexed="13"/>
      </left>
      <right style="thin">
        <color indexed="13"/>
      </right>
      <top style="medium">
        <color indexed="8"/>
      </top>
      <bottom style="thin">
        <color indexed="13"/>
      </bottom>
      <diagonal/>
    </border>
    <border>
      <left style="thin">
        <color indexed="13"/>
      </left>
      <right style="medium">
        <color indexed="8"/>
      </right>
      <top style="medium">
        <color indexed="8"/>
      </top>
      <bottom style="thin">
        <color indexed="13"/>
      </bottom>
      <diagonal/>
    </border>
    <border>
      <left/>
      <right style="medium">
        <color indexed="8"/>
      </right>
      <top/>
      <bottom/>
      <diagonal/>
    </border>
    <border>
      <left style="medium">
        <color indexed="8"/>
      </left>
      <right style="thin">
        <color indexed="13"/>
      </right>
      <top style="thin">
        <color indexed="13"/>
      </top>
      <bottom style="thin">
        <color indexed="13"/>
      </bottom>
      <diagonal/>
    </border>
    <border>
      <left style="thin">
        <color indexed="13"/>
      </left>
      <right style="thin">
        <color indexed="13"/>
      </right>
      <top style="thin">
        <color indexed="13"/>
      </top>
      <bottom style="thin">
        <color indexed="13"/>
      </bottom>
      <diagonal/>
    </border>
    <border>
      <left style="thin">
        <color indexed="13"/>
      </left>
      <right style="medium">
        <color indexed="8"/>
      </right>
      <top style="thin">
        <color indexed="13"/>
      </top>
      <bottom style="thin">
        <color indexed="13"/>
      </bottom>
      <diagonal/>
    </border>
    <border>
      <left style="medium">
        <color indexed="8"/>
      </left>
      <right style="thin">
        <color indexed="13"/>
      </right>
      <top style="thin">
        <color indexed="13"/>
      </top>
      <bottom style="medium">
        <color indexed="8"/>
      </bottom>
      <diagonal/>
    </border>
    <border>
      <left style="thin">
        <color indexed="13"/>
      </left>
      <right style="thin">
        <color indexed="13"/>
      </right>
      <top style="thin">
        <color indexed="13"/>
      </top>
      <bottom style="medium">
        <color indexed="8"/>
      </bottom>
      <diagonal/>
    </border>
    <border>
      <left style="thin">
        <color indexed="13"/>
      </left>
      <right style="medium">
        <color indexed="8"/>
      </right>
      <top style="thin">
        <color indexed="13"/>
      </top>
      <bottom style="medium">
        <color indexed="8"/>
      </bottom>
      <diagonal/>
    </border>
    <border>
      <left style="medium">
        <color indexed="8"/>
      </left>
      <right/>
      <top style="medium">
        <color indexed="8"/>
      </top>
      <bottom/>
      <diagonal/>
    </border>
    <border>
      <left style="medium">
        <color indexed="8"/>
      </left>
      <right/>
      <top/>
      <bottom style="medium">
        <color indexed="8"/>
      </bottom>
      <diagonal/>
    </border>
    <border>
      <left/>
      <right style="medium">
        <color indexed="8"/>
      </right>
      <top/>
      <bottom style="medium">
        <color indexed="8"/>
      </bottom>
      <diagonal/>
    </border>
    <border>
      <left style="medium">
        <color indexed="8"/>
      </left>
      <right style="thin">
        <color indexed="13"/>
      </right>
      <top style="medium">
        <color indexed="8"/>
      </top>
      <bottom style="thin">
        <color indexed="8"/>
      </bottom>
      <diagonal/>
    </border>
    <border>
      <left style="thin">
        <color indexed="13"/>
      </left>
      <right style="thin">
        <color indexed="13"/>
      </right>
      <top style="medium">
        <color indexed="8"/>
      </top>
      <bottom style="thin">
        <color indexed="8"/>
      </bottom>
      <diagonal/>
    </border>
    <border>
      <left style="thin">
        <color indexed="13"/>
      </left>
      <right style="medium">
        <color indexed="8"/>
      </right>
      <top style="medium">
        <color indexed="8"/>
      </top>
      <bottom style="thin">
        <color indexed="8"/>
      </bottom>
      <diagonal/>
    </border>
    <border>
      <left style="medium">
        <color indexed="8"/>
      </left>
      <right style="thin">
        <color indexed="13"/>
      </right>
      <top style="thin">
        <color indexed="8"/>
      </top>
      <bottom style="thin">
        <color indexed="8"/>
      </bottom>
      <diagonal/>
    </border>
    <border>
      <left style="thin">
        <color indexed="13"/>
      </left>
      <right style="thin">
        <color indexed="13"/>
      </right>
      <top style="thin">
        <color indexed="8"/>
      </top>
      <bottom style="thin">
        <color indexed="8"/>
      </bottom>
      <diagonal/>
    </border>
    <border>
      <left style="medium">
        <color indexed="8"/>
      </left>
      <right style="thin">
        <color indexed="13"/>
      </right>
      <top style="thin">
        <color indexed="8"/>
      </top>
      <bottom style="medium">
        <color indexed="8"/>
      </bottom>
      <diagonal/>
    </border>
    <border>
      <left style="thin">
        <color indexed="13"/>
      </left>
      <right style="thin">
        <color indexed="13"/>
      </right>
      <top style="thin">
        <color indexed="8"/>
      </top>
      <bottom style="medium">
        <color indexed="8"/>
      </bottom>
      <diagonal/>
    </border>
    <border>
      <left style="thin">
        <color indexed="8"/>
      </left>
      <right/>
      <top style="medium">
        <color indexed="8"/>
      </top>
      <bottom style="medium">
        <color indexed="8"/>
      </bottom>
      <diagonal/>
    </border>
    <border>
      <left/>
      <right style="medium">
        <color indexed="8"/>
      </right>
      <top style="medium">
        <color indexed="8"/>
      </top>
      <bottom style="medium">
        <color indexed="8"/>
      </bottom>
      <diagonal/>
    </border>
    <border>
      <left style="medium">
        <color indexed="8"/>
      </left>
      <right style="medium">
        <color indexed="8"/>
      </right>
      <top style="medium">
        <color indexed="8"/>
      </top>
      <bottom style="medium">
        <color indexed="8"/>
      </bottom>
      <diagonal/>
    </border>
    <border>
      <left style="thin">
        <color indexed="8"/>
      </left>
      <right/>
      <top style="thin">
        <color indexed="8"/>
      </top>
      <bottom style="medium">
        <color indexed="8"/>
      </bottom>
      <diagonal/>
    </border>
    <border>
      <left style="medium">
        <color indexed="8"/>
      </left>
      <right style="thin">
        <color indexed="13"/>
      </right>
      <top style="medium">
        <color indexed="8"/>
      </top>
      <bottom style="medium">
        <color indexed="8"/>
      </bottom>
      <diagonal/>
    </border>
    <border>
      <left style="thin">
        <color indexed="13"/>
      </left>
      <right style="thin">
        <color indexed="13"/>
      </right>
      <top style="medium">
        <color indexed="8"/>
      </top>
      <bottom style="medium">
        <color indexed="8"/>
      </bottom>
      <diagonal/>
    </border>
    <border>
      <left style="thin">
        <color indexed="13"/>
      </left>
      <right style="medium">
        <color indexed="8"/>
      </right>
      <top style="medium">
        <color indexed="8"/>
      </top>
      <bottom style="medium">
        <color indexed="8"/>
      </bottom>
      <diagonal/>
    </border>
    <border>
      <left/>
      <right style="thin">
        <color indexed="8"/>
      </right>
      <top/>
      <bottom/>
      <diagonal/>
    </border>
    <border>
      <left style="thin">
        <color indexed="8"/>
      </left>
      <right/>
      <top/>
      <bottom/>
      <diagonal/>
    </border>
    <border>
      <left/>
      <right/>
      <top style="thin">
        <color indexed="8"/>
      </top>
      <bottom style="medium">
        <color indexed="8"/>
      </bottom>
      <diagonal/>
    </border>
    <border>
      <left style="medium">
        <color indexed="8"/>
      </left>
      <right style="medium">
        <color indexed="8"/>
      </right>
      <top/>
      <bottom style="thin">
        <color indexed="8"/>
      </bottom>
      <diagonal/>
    </border>
    <border>
      <left style="medium">
        <color indexed="8"/>
      </left>
      <right style="thin">
        <color indexed="8"/>
      </right>
      <top/>
      <bottom style="medium">
        <color indexed="8"/>
      </bottom>
      <diagonal/>
    </border>
    <border>
      <left/>
      <right style="thin">
        <color indexed="8"/>
      </right>
      <top style="medium">
        <color indexed="8"/>
      </top>
      <bottom/>
      <diagonal/>
    </border>
    <border>
      <left/>
      <right/>
      <top style="medium">
        <color indexed="8"/>
      </top>
      <bottom style="thin">
        <color indexed="8"/>
      </bottom>
      <diagonal/>
    </border>
    <border>
      <left style="thin">
        <color indexed="8"/>
      </left>
      <right/>
      <top/>
      <bottom style="medium">
        <color indexed="8"/>
      </bottom>
      <diagonal/>
    </border>
    <border>
      <left/>
      <right style="thin">
        <color indexed="8"/>
      </right>
      <top/>
      <bottom style="medium">
        <color indexed="8"/>
      </bottom>
      <diagonal/>
    </border>
    <border>
      <left/>
      <right style="thin">
        <color indexed="8"/>
      </right>
      <top style="thin">
        <color indexed="8"/>
      </top>
      <bottom style="medium">
        <color indexed="8"/>
      </bottom>
      <diagonal/>
    </border>
    <border>
      <left style="thin">
        <color indexed="8"/>
      </left>
      <right style="thin">
        <color indexed="13"/>
      </right>
      <top style="medium">
        <color indexed="8"/>
      </top>
      <bottom style="thin">
        <color indexed="8"/>
      </bottom>
      <diagonal/>
    </border>
    <border>
      <left style="thin">
        <color indexed="13"/>
      </left>
      <right style="thin">
        <color indexed="8"/>
      </right>
      <top style="medium">
        <color indexed="8"/>
      </top>
      <bottom style="thin">
        <color indexed="8"/>
      </bottom>
      <diagonal/>
    </border>
    <border>
      <left/>
      <right style="thin">
        <color indexed="8"/>
      </right>
      <top style="medium">
        <color indexed="8"/>
      </top>
      <bottom style="thin">
        <color indexed="8"/>
      </bottom>
      <diagonal/>
    </border>
    <border>
      <left style="thin">
        <color indexed="8"/>
      </left>
      <right/>
      <top style="medium">
        <color indexed="8"/>
      </top>
      <bottom style="thin">
        <color indexed="8"/>
      </bottom>
      <diagonal/>
    </border>
    <border>
      <left style="thin">
        <color indexed="13"/>
      </left>
      <right style="thin">
        <color indexed="8"/>
      </right>
      <top style="thin">
        <color indexed="8"/>
      </top>
      <bottom style="thin">
        <color indexed="8"/>
      </bottom>
      <diagonal/>
    </border>
    <border>
      <left/>
      <right style="thin">
        <color indexed="13"/>
      </right>
      <top/>
      <bottom style="thin">
        <color indexed="8"/>
      </bottom>
      <diagonal/>
    </border>
    <border>
      <left/>
      <right style="thin">
        <color indexed="13"/>
      </right>
      <top style="thin">
        <color indexed="8"/>
      </top>
      <bottom/>
      <diagonal/>
    </border>
    <border>
      <left style="thin">
        <color indexed="8"/>
      </left>
      <right style="thin">
        <color indexed="13"/>
      </right>
      <top style="medium">
        <color indexed="8"/>
      </top>
      <bottom style="medium">
        <color indexed="8"/>
      </bottom>
      <diagonal/>
    </border>
    <border>
      <left style="medium">
        <color indexed="8"/>
      </left>
      <right style="thin">
        <color indexed="8"/>
      </right>
      <top/>
      <bottom/>
      <diagonal/>
    </border>
    <border>
      <left style="thin">
        <color indexed="8"/>
      </left>
      <right style="medium">
        <color indexed="8"/>
      </right>
      <top/>
      <bottom/>
      <diagonal/>
    </border>
    <border>
      <left style="thin">
        <color indexed="8"/>
      </left>
      <right style="medium">
        <color indexed="8"/>
      </right>
      <top/>
      <bottom style="medium">
        <color indexed="8"/>
      </bottom>
      <diagonal/>
    </border>
    <border>
      <left style="thin">
        <color indexed="8"/>
      </left>
      <right style="thin">
        <color indexed="8"/>
      </right>
      <top/>
      <bottom/>
      <diagonal/>
    </border>
    <border>
      <left style="thin">
        <color indexed="13"/>
      </left>
      <right style="medium">
        <color indexed="8"/>
      </right>
      <top style="thin">
        <color indexed="13"/>
      </top>
      <bottom/>
      <diagonal/>
    </border>
    <border>
      <left/>
      <right/>
      <top style="thin">
        <color indexed="13"/>
      </top>
      <bottom style="thin">
        <color indexed="8"/>
      </bottom>
      <diagonal/>
    </border>
    <border>
      <left style="thin">
        <color indexed="13"/>
      </left>
      <right style="thin">
        <color indexed="8"/>
      </right>
      <top/>
      <bottom/>
      <diagonal/>
    </border>
    <border>
      <left style="thin">
        <color indexed="8"/>
      </left>
      <right style="thin">
        <color indexed="13"/>
      </right>
      <top style="thin">
        <color indexed="8"/>
      </top>
      <bottom/>
      <diagonal/>
    </border>
    <border>
      <left style="thin">
        <color indexed="13"/>
      </left>
      <right style="thin">
        <color indexed="13"/>
      </right>
      <top style="thin">
        <color indexed="8"/>
      </top>
      <bottom/>
      <diagonal/>
    </border>
    <border>
      <left style="thin">
        <color indexed="13"/>
      </left>
      <right style="thin">
        <color indexed="8"/>
      </right>
      <top style="thin">
        <color indexed="8"/>
      </top>
      <bottom/>
      <diagonal/>
    </border>
    <border>
      <left style="thin">
        <color indexed="13"/>
      </left>
      <right style="medium">
        <color indexed="8"/>
      </right>
      <top/>
      <bottom style="thin">
        <color indexed="13"/>
      </bottom>
      <diagonal/>
    </border>
    <border>
      <left style="thin">
        <color indexed="50"/>
      </left>
      <right style="thin">
        <color indexed="50"/>
      </right>
      <top style="thin">
        <color indexed="50"/>
      </top>
      <bottom style="thin">
        <color indexed="8"/>
      </bottom>
      <diagonal/>
    </border>
    <border>
      <left style="thin">
        <color indexed="50"/>
      </left>
      <right style="thin">
        <color indexed="50"/>
      </right>
      <top style="thin">
        <color indexed="13"/>
      </top>
      <bottom/>
      <diagonal/>
    </border>
    <border>
      <left style="thin">
        <color indexed="50"/>
      </left>
      <right style="thin">
        <color indexed="8"/>
      </right>
      <top style="thin">
        <color indexed="13"/>
      </top>
      <bottom/>
      <diagonal/>
    </border>
    <border>
      <left style="thin">
        <color indexed="8"/>
      </left>
      <right style="thin">
        <color indexed="8"/>
      </right>
      <top style="thin">
        <color indexed="13"/>
      </top>
      <bottom/>
      <diagonal/>
    </border>
    <border>
      <left style="thin">
        <color indexed="50"/>
      </left>
      <right style="thin">
        <color indexed="50"/>
      </right>
      <top style="thin">
        <color indexed="8"/>
      </top>
      <bottom style="thin">
        <color indexed="8"/>
      </bottom>
      <diagonal/>
    </border>
    <border>
      <left style="thin">
        <color indexed="50"/>
      </left>
      <right style="thin">
        <color indexed="8"/>
      </right>
      <top/>
      <bottom/>
      <diagonal/>
    </border>
    <border>
      <left style="thin">
        <color indexed="8"/>
      </left>
      <right style="thin">
        <color indexed="50"/>
      </right>
      <top/>
      <bottom/>
      <diagonal/>
    </border>
    <border>
      <left style="thin">
        <color indexed="50"/>
      </left>
      <right style="thin">
        <color indexed="50"/>
      </right>
      <top/>
      <bottom/>
      <diagonal/>
    </border>
    <border>
      <left style="thin">
        <color indexed="13"/>
      </left>
      <right/>
      <top style="thin">
        <color indexed="8"/>
      </top>
      <bottom/>
      <diagonal/>
    </border>
    <border>
      <left style="thin">
        <color indexed="13"/>
      </left>
      <right/>
      <top/>
      <bottom style="thin">
        <color indexed="8"/>
      </bottom>
      <diagonal/>
    </border>
    <border>
      <left/>
      <right style="thin">
        <color indexed="8"/>
      </right>
      <top/>
      <bottom style="thin">
        <color indexed="13"/>
      </bottom>
      <diagonal/>
    </border>
    <border>
      <left style="thin">
        <color indexed="8"/>
      </left>
      <right/>
      <top/>
      <bottom style="thin">
        <color indexed="13"/>
      </bottom>
      <diagonal/>
    </border>
    <border>
      <left/>
      <right style="thin">
        <color indexed="13"/>
      </right>
      <top/>
      <bottom style="medium">
        <color indexed="8"/>
      </bottom>
      <diagonal/>
    </border>
    <border>
      <left/>
      <right/>
      <top style="medium">
        <color indexed="8"/>
      </top>
      <bottom style="thin">
        <color indexed="13"/>
      </bottom>
      <diagonal/>
    </border>
    <border>
      <left/>
      <right style="thin">
        <color indexed="13"/>
      </right>
      <top style="medium">
        <color indexed="8"/>
      </top>
      <bottom style="thin">
        <color indexed="13"/>
      </bottom>
      <diagonal/>
    </border>
  </borders>
  <cellStyleXfs count="1">
    <xf numFmtId="0" fontId="0" applyNumberFormat="0" applyFont="1" applyFill="0" applyBorder="0" applyAlignment="1" applyProtection="0">
      <alignment vertical="bottom"/>
    </xf>
  </cellStyleXfs>
  <cellXfs count="1103">
    <xf numFmtId="0" fontId="0" applyNumberFormat="0" applyFont="1" applyFill="0" applyBorder="0" applyAlignment="1" applyProtection="0">
      <alignment vertical="bottom"/>
    </xf>
    <xf numFmtId="0" fontId="1" applyNumberFormat="0" applyFont="1" applyFill="0" applyBorder="0" applyAlignment="1" applyProtection="0">
      <alignment horizontal="left" vertical="bottom" wrapText="1"/>
    </xf>
    <xf numFmtId="0" fontId="2" applyNumberFormat="0" applyFont="1" applyFill="0" applyBorder="0" applyAlignment="1" applyProtection="0">
      <alignment horizontal="left" vertical="bottom"/>
    </xf>
    <xf numFmtId="0" fontId="1" fillId="2" applyNumberFormat="0" applyFont="1" applyFill="1" applyBorder="0" applyAlignment="1" applyProtection="0">
      <alignment horizontal="left" vertical="bottom"/>
    </xf>
    <xf numFmtId="0" fontId="1" fillId="3" applyNumberFormat="0" applyFont="1" applyFill="1" applyBorder="0" applyAlignment="1" applyProtection="0">
      <alignment horizontal="left" vertical="bottom"/>
    </xf>
    <xf numFmtId="0" fontId="4" fillId="3" applyNumberFormat="0" applyFont="1" applyFill="1" applyBorder="0" applyAlignment="1" applyProtection="0">
      <alignment horizontal="left" vertical="bottom"/>
    </xf>
    <xf numFmtId="0" fontId="0" applyNumberFormat="1" applyFont="1" applyFill="0" applyBorder="0" applyAlignment="1" applyProtection="0">
      <alignment vertical="bottom"/>
    </xf>
    <xf numFmtId="0" fontId="0" fillId="4" borderId="1" applyNumberFormat="0" applyFont="1" applyFill="1" applyBorder="1" applyAlignment="1" applyProtection="0">
      <alignment vertical="bottom"/>
    </xf>
    <xf numFmtId="0" fontId="0" fillId="4" borderId="2" applyNumberFormat="0" applyFont="1" applyFill="1" applyBorder="1" applyAlignment="1" applyProtection="0">
      <alignment vertical="bottom"/>
    </xf>
    <xf numFmtId="0" fontId="6" fillId="4" borderId="2" applyNumberFormat="0" applyFont="1" applyFill="1" applyBorder="1" applyAlignment="1" applyProtection="0">
      <alignment horizontal="center" vertical="center"/>
    </xf>
    <xf numFmtId="0" fontId="0" fillId="4" borderId="3" applyNumberFormat="0" applyFont="1" applyFill="1" applyBorder="1" applyAlignment="1" applyProtection="0">
      <alignment vertical="bottom"/>
    </xf>
    <xf numFmtId="0" fontId="0" fillId="4" borderId="4" applyNumberFormat="0" applyFont="1" applyFill="1" applyBorder="1" applyAlignment="1" applyProtection="0">
      <alignment vertical="bottom"/>
    </xf>
    <xf numFmtId="0" fontId="6" fillId="4" borderId="4" applyNumberFormat="0" applyFont="1" applyFill="1" applyBorder="1" applyAlignment="1" applyProtection="0">
      <alignment horizontal="center" vertical="center"/>
    </xf>
    <xf numFmtId="49" fontId="7" fillId="4" borderId="3" applyNumberFormat="1" applyFont="1" applyFill="1" applyBorder="1" applyAlignment="1" applyProtection="0">
      <alignment vertical="bottom"/>
    </xf>
    <xf numFmtId="49" fontId="8" fillId="4" borderId="4" applyNumberFormat="1" applyFont="1" applyFill="1" applyBorder="1" applyAlignment="1" applyProtection="0">
      <alignment horizontal="center" vertical="center" wrapText="1"/>
    </xf>
    <xf numFmtId="0" fontId="8" fillId="4" borderId="4" applyNumberFormat="0" applyFont="1" applyFill="1" applyBorder="1" applyAlignment="1" applyProtection="0">
      <alignment horizontal="center" vertical="center"/>
    </xf>
    <xf numFmtId="0" fontId="9" fillId="4" borderId="4" applyNumberFormat="0" applyFont="1" applyFill="1" applyBorder="1" applyAlignment="1" applyProtection="0">
      <alignment horizontal="center" vertical="center"/>
    </xf>
    <xf numFmtId="49" fontId="10" fillId="4" borderId="4" applyNumberFormat="1" applyFont="1" applyFill="1" applyBorder="1" applyAlignment="1" applyProtection="0">
      <alignment horizontal="center" vertical="bottom"/>
    </xf>
    <xf numFmtId="0" fontId="10" fillId="4" borderId="4" applyNumberFormat="0" applyFont="1" applyFill="1" applyBorder="1" applyAlignment="1" applyProtection="0">
      <alignment horizontal="center" vertical="bottom"/>
    </xf>
    <xf numFmtId="49" fontId="0" fillId="4" borderId="4" applyNumberFormat="1" applyFont="1" applyFill="1" applyBorder="1" applyAlignment="1" applyProtection="0">
      <alignment horizontal="center" vertical="bottom"/>
    </xf>
    <xf numFmtId="0" fontId="0" fillId="4" borderId="4" applyNumberFormat="0" applyFont="1" applyFill="1" applyBorder="1" applyAlignment="1" applyProtection="0">
      <alignment horizontal="center" vertical="bottom"/>
    </xf>
    <xf numFmtId="0" fontId="0" fillId="4" borderId="4" applyNumberFormat="0" applyFont="1" applyFill="1" applyBorder="1" applyAlignment="1" applyProtection="0">
      <alignment horizontal="center" vertical="top"/>
    </xf>
    <xf numFmtId="0" fontId="0" fillId="4" borderId="4" applyNumberFormat="0" applyFont="1" applyFill="1" applyBorder="1" applyAlignment="1" applyProtection="0">
      <alignment horizontal="left" vertical="top" wrapText="1"/>
    </xf>
    <xf numFmtId="0" fontId="11" fillId="4" borderId="4" applyNumberFormat="0" applyFont="1" applyFill="1" applyBorder="1" applyAlignment="1" applyProtection="0">
      <alignment horizontal="left" vertical="center"/>
    </xf>
    <xf numFmtId="49" fontId="12" fillId="4" borderId="4" applyNumberFormat="1" applyFont="1" applyFill="1" applyBorder="1" applyAlignment="1" applyProtection="0">
      <alignment horizontal="center" vertical="bottom"/>
    </xf>
    <xf numFmtId="0" fontId="12" fillId="4" borderId="4" applyNumberFormat="0" applyFont="1" applyFill="1" applyBorder="1" applyAlignment="1" applyProtection="0">
      <alignment horizontal="center" vertical="bottom"/>
    </xf>
    <xf numFmtId="0" fontId="0" fillId="4" borderId="5" applyNumberFormat="0" applyFont="1" applyFill="1" applyBorder="1" applyAlignment="1" applyProtection="0">
      <alignment vertical="bottom"/>
    </xf>
    <xf numFmtId="0" fontId="0" fillId="4" borderId="6" applyNumberFormat="0" applyFont="1" applyFill="1" applyBorder="1" applyAlignment="1" applyProtection="0">
      <alignment vertical="bottom"/>
    </xf>
    <xf numFmtId="0" fontId="1" fillId="5" borderId="7" applyNumberFormat="0" applyFont="1" applyFill="1" applyBorder="1" applyAlignment="1" applyProtection="0">
      <alignment horizontal="center" vertical="center" wrapText="1"/>
    </xf>
    <xf numFmtId="0" fontId="1" fillId="5" borderId="8" applyNumberFormat="0" applyFont="1" applyFill="1" applyBorder="1" applyAlignment="1" applyProtection="0">
      <alignment horizontal="center" vertical="center" wrapText="1"/>
    </xf>
    <xf numFmtId="49" fontId="13" fillId="6" borderId="9" applyNumberFormat="1" applyFont="1" applyFill="1" applyBorder="1" applyAlignment="1" applyProtection="0">
      <alignment horizontal="center" vertical="center"/>
    </xf>
    <xf numFmtId="0" fontId="13" fillId="6" borderId="10" applyNumberFormat="0" applyFont="1" applyFill="1" applyBorder="1" applyAlignment="1" applyProtection="0">
      <alignment horizontal="center" vertical="center"/>
    </xf>
    <xf numFmtId="0" fontId="13" fillId="6" borderId="11" applyNumberFormat="0" applyFont="1" applyFill="1" applyBorder="1" applyAlignment="1" applyProtection="0">
      <alignment horizontal="center" vertical="center"/>
    </xf>
    <xf numFmtId="0" fontId="0" fillId="4" borderId="12" applyNumberFormat="0" applyFont="1" applyFill="1" applyBorder="1" applyAlignment="1" applyProtection="0">
      <alignment vertical="bottom"/>
    </xf>
    <xf numFmtId="0" fontId="1" fillId="5" borderId="13" applyNumberFormat="0" applyFont="1" applyFill="1" applyBorder="1" applyAlignment="1" applyProtection="0">
      <alignment horizontal="center" vertical="center" wrapText="1"/>
    </xf>
    <xf numFmtId="0" fontId="1" fillId="5" borderId="14" applyNumberFormat="0" applyFont="1" applyFill="1" applyBorder="1" applyAlignment="1" applyProtection="0">
      <alignment horizontal="center" vertical="center" wrapText="1"/>
    </xf>
    <xf numFmtId="0" fontId="13" fillId="6" borderId="15" applyNumberFormat="0" applyFont="1" applyFill="1" applyBorder="1" applyAlignment="1" applyProtection="0">
      <alignment horizontal="center" vertical="center"/>
    </xf>
    <xf numFmtId="0" fontId="13" fillId="6" borderId="16" applyNumberFormat="0" applyFont="1" applyFill="1" applyBorder="1" applyAlignment="1" applyProtection="0">
      <alignment horizontal="center" vertical="center"/>
    </xf>
    <xf numFmtId="0" fontId="13" fillId="6" borderId="17" applyNumberFormat="0" applyFont="1" applyFill="1" applyBorder="1" applyAlignment="1" applyProtection="0">
      <alignment horizontal="center" vertical="center"/>
    </xf>
    <xf numFmtId="0" fontId="1" fillId="7" borderId="18" applyNumberFormat="0" applyFont="1" applyFill="1" applyBorder="1" applyAlignment="1" applyProtection="0">
      <alignment horizontal="center" vertical="center"/>
    </xf>
    <xf numFmtId="0" fontId="1" fillId="7" borderId="19" applyNumberFormat="0" applyFont="1" applyFill="1" applyBorder="1" applyAlignment="1" applyProtection="0">
      <alignment horizontal="center" vertical="center"/>
    </xf>
    <xf numFmtId="49" fontId="13" fillId="6" borderId="20" applyNumberFormat="1" applyFont="1" applyFill="1" applyBorder="1" applyAlignment="1" applyProtection="0">
      <alignment horizontal="center" vertical="center"/>
    </xf>
    <xf numFmtId="0" fontId="13" fillId="6" borderId="21" applyNumberFormat="0" applyFont="1" applyFill="1" applyBorder="1" applyAlignment="1" applyProtection="0">
      <alignment horizontal="center" vertical="center"/>
    </xf>
    <xf numFmtId="0" fontId="13" fillId="6" borderId="22" applyNumberFormat="0" applyFont="1" applyFill="1" applyBorder="1" applyAlignment="1" applyProtection="0">
      <alignment horizontal="center" vertical="center"/>
    </xf>
    <xf numFmtId="0" fontId="1" fillId="7" borderId="23" applyNumberFormat="0" applyFont="1" applyFill="1" applyBorder="1" applyAlignment="1" applyProtection="0">
      <alignment horizontal="center" vertical="center"/>
    </xf>
    <xf numFmtId="0" fontId="1" fillId="7" borderId="24" applyNumberFormat="0" applyFont="1" applyFill="1" applyBorder="1" applyAlignment="1" applyProtection="0">
      <alignment horizontal="center" vertical="center"/>
    </xf>
    <xf numFmtId="0" fontId="1" fillId="8" borderId="18" applyNumberFormat="0" applyFont="1" applyFill="1" applyBorder="1" applyAlignment="1" applyProtection="0">
      <alignment horizontal="center" vertical="center"/>
    </xf>
    <xf numFmtId="0" fontId="1" fillId="8" borderId="19" applyNumberFormat="0" applyFont="1" applyFill="1" applyBorder="1" applyAlignment="1" applyProtection="0">
      <alignment horizontal="center" vertical="center"/>
    </xf>
    <xf numFmtId="0" fontId="1" fillId="8" borderId="23" applyNumberFormat="0" applyFont="1" applyFill="1" applyBorder="1" applyAlignment="1" applyProtection="0">
      <alignment horizontal="center" vertical="center"/>
    </xf>
    <xf numFmtId="0" fontId="1" fillId="8" borderId="24" applyNumberFormat="0" applyFont="1" applyFill="1" applyBorder="1" applyAlignment="1" applyProtection="0">
      <alignment horizontal="center" vertical="center"/>
    </xf>
    <xf numFmtId="0" fontId="0" fillId="9" borderId="25" applyNumberFormat="0" applyFont="1" applyFill="1" applyBorder="1" applyAlignment="1" applyProtection="0">
      <alignment horizontal="center" vertical="bottom"/>
    </xf>
    <xf numFmtId="0" fontId="0" fillId="9" borderId="26" applyNumberFormat="0" applyFont="1" applyFill="1" applyBorder="1" applyAlignment="1" applyProtection="0">
      <alignment horizontal="center" vertical="bottom"/>
    </xf>
    <xf numFmtId="49" fontId="13" fillId="6" borderId="27" applyNumberFormat="1" applyFont="1" applyFill="1" applyBorder="1" applyAlignment="1" applyProtection="0">
      <alignment horizontal="center" vertical="center"/>
    </xf>
    <xf numFmtId="0" fontId="13" fillId="6" borderId="28" applyNumberFormat="0" applyFont="1" applyFill="1" applyBorder="1" applyAlignment="1" applyProtection="0">
      <alignment horizontal="center" vertical="center"/>
    </xf>
    <xf numFmtId="0" fontId="13" fillId="6" borderId="29" applyNumberFormat="0" applyFont="1" applyFill="1" applyBorder="1" applyAlignment="1" applyProtection="0">
      <alignment horizontal="center" vertical="center"/>
    </xf>
    <xf numFmtId="0" fontId="0" fillId="10" borderId="25" applyNumberFormat="0" applyFont="1" applyFill="1" applyBorder="1" applyAlignment="1" applyProtection="0">
      <alignment horizontal="center" vertical="bottom"/>
    </xf>
    <xf numFmtId="0" fontId="0" fillId="10" borderId="26" applyNumberFormat="0" applyFont="1" applyFill="1" applyBorder="1" applyAlignment="1" applyProtection="0">
      <alignment horizontal="center" vertical="bottom"/>
    </xf>
    <xf numFmtId="49" fontId="14" fillId="11" borderId="25" applyNumberFormat="1" applyFont="1" applyFill="1" applyBorder="1" applyAlignment="1" applyProtection="0">
      <alignment horizontal="center" vertical="center"/>
    </xf>
    <xf numFmtId="0" fontId="14" fillId="11" borderId="26" applyNumberFormat="0" applyFont="1" applyFill="1" applyBorder="1" applyAlignment="1" applyProtection="0">
      <alignment horizontal="center" vertical="center"/>
    </xf>
    <xf numFmtId="49" fontId="13" fillId="12" borderId="30" applyNumberFormat="1" applyFont="1" applyFill="1" applyBorder="1" applyAlignment="1" applyProtection="0">
      <alignment horizontal="center" vertical="center"/>
    </xf>
    <xf numFmtId="0" fontId="13" fillId="12" borderId="31" applyNumberFormat="0" applyFont="1" applyFill="1" applyBorder="1" applyAlignment="1" applyProtection="0">
      <alignment horizontal="center" vertical="center"/>
    </xf>
    <xf numFmtId="49" fontId="13" fillId="6" borderId="31" applyNumberFormat="1" applyFont="1" applyFill="1" applyBorder="1" applyAlignment="1" applyProtection="0">
      <alignment horizontal="center" vertical="center"/>
    </xf>
    <xf numFmtId="0" fontId="13" fillId="6" borderId="31" applyNumberFormat="0" applyFont="1" applyFill="1" applyBorder="1" applyAlignment="1" applyProtection="0">
      <alignment horizontal="center" vertical="center"/>
    </xf>
    <xf numFmtId="0" fontId="13" fillId="6" borderId="32" applyNumberFormat="0" applyFont="1" applyFill="1" applyBorder="1" applyAlignment="1" applyProtection="0">
      <alignment horizontal="center" vertical="center"/>
    </xf>
    <xf numFmtId="49" fontId="0" fillId="4" borderId="4" applyNumberFormat="1" applyFont="1" applyFill="1" applyBorder="1" applyAlignment="1" applyProtection="0">
      <alignment horizontal="center" vertical="top" wrapText="1"/>
    </xf>
    <xf numFmtId="0" fontId="0" fillId="4" borderId="4" applyNumberFormat="0" applyFont="1" applyFill="1" applyBorder="1" applyAlignment="1" applyProtection="0">
      <alignment horizontal="center" vertical="top" wrapText="1"/>
    </xf>
    <xf numFmtId="0" fontId="0" fillId="13" borderId="33" applyNumberFormat="0" applyFont="1" applyFill="1" applyBorder="1" applyAlignment="1" applyProtection="0">
      <alignment horizontal="center" vertical="bottom"/>
    </xf>
    <xf numFmtId="0" fontId="0" fillId="13" borderId="34" applyNumberFormat="0" applyFont="1" applyFill="1" applyBorder="1" applyAlignment="1" applyProtection="0">
      <alignment horizontal="center" vertical="bottom"/>
    </xf>
    <xf numFmtId="49" fontId="13" fillId="6" borderId="34" applyNumberFormat="1" applyFont="1" applyFill="1" applyBorder="1" applyAlignment="1" applyProtection="0">
      <alignment horizontal="center" vertical="center"/>
    </xf>
    <xf numFmtId="0" fontId="13" fillId="6" borderId="34" applyNumberFormat="0" applyFont="1" applyFill="1" applyBorder="1" applyAlignment="1" applyProtection="0">
      <alignment horizontal="center" vertical="center"/>
    </xf>
    <xf numFmtId="0" fontId="13" fillId="6" borderId="35" applyNumberFormat="0" applyFont="1" applyFill="1" applyBorder="1" applyAlignment="1" applyProtection="0">
      <alignment horizontal="center" vertical="center"/>
    </xf>
    <xf numFmtId="0" fontId="0" fillId="4" borderId="10" applyNumberFormat="0" applyFont="1" applyFill="1" applyBorder="1" applyAlignment="1" applyProtection="0">
      <alignment vertical="bottom"/>
    </xf>
    <xf numFmtId="0" fontId="0" borderId="36" applyNumberFormat="0" applyFont="1" applyFill="0" applyBorder="1" applyAlignment="1" applyProtection="0">
      <alignment vertical="bottom"/>
    </xf>
    <xf numFmtId="0" fontId="0" applyNumberFormat="1" applyFont="1" applyFill="0" applyBorder="0" applyAlignment="1" applyProtection="0">
      <alignment vertical="bottom"/>
    </xf>
    <xf numFmtId="0" fontId="0" fillId="4" borderId="37" applyNumberFormat="0" applyFont="1" applyFill="1" applyBorder="1" applyAlignment="1" applyProtection="0">
      <alignment vertical="bottom"/>
    </xf>
    <xf numFmtId="0" fontId="0" fillId="4" borderId="38" applyNumberFormat="0" applyFont="1" applyFill="1" applyBorder="1" applyAlignment="1" applyProtection="0">
      <alignment vertical="bottom"/>
    </xf>
    <xf numFmtId="49" fontId="15" fillId="14" borderId="39" applyNumberFormat="1" applyFont="1" applyFill="1" applyBorder="1" applyAlignment="1" applyProtection="0">
      <alignment horizontal="center" vertical="center"/>
    </xf>
    <xf numFmtId="0" fontId="15" fillId="14" borderId="40" applyNumberFormat="0" applyFont="1" applyFill="1" applyBorder="1" applyAlignment="1" applyProtection="0">
      <alignment horizontal="center" vertical="center"/>
    </xf>
    <xf numFmtId="49" fontId="15" fillId="10" borderId="41" applyNumberFormat="1" applyFont="1" applyFill="1" applyBorder="1" applyAlignment="1" applyProtection="0">
      <alignment horizontal="center" vertical="center"/>
    </xf>
    <xf numFmtId="0" fontId="11" fillId="4" borderId="12" applyNumberFormat="0" applyFont="1" applyFill="1" applyBorder="1" applyAlignment="1" applyProtection="0">
      <alignment vertical="center"/>
    </xf>
    <xf numFmtId="0" fontId="0" fillId="4" borderId="42" applyNumberFormat="0" applyFont="1" applyFill="1" applyBorder="1" applyAlignment="1" applyProtection="0">
      <alignment vertical="bottom"/>
    </xf>
    <xf numFmtId="49" fontId="15" fillId="14" borderId="43" applyNumberFormat="1" applyFont="1" applyFill="1" applyBorder="1" applyAlignment="1" applyProtection="0">
      <alignment horizontal="center" vertical="center"/>
    </xf>
    <xf numFmtId="0" fontId="15" fillId="14" borderId="44" applyNumberFormat="0" applyFont="1" applyFill="1" applyBorder="1" applyAlignment="1" applyProtection="0">
      <alignment horizontal="center" vertical="center"/>
    </xf>
    <xf numFmtId="49" fontId="11" fillId="5" borderId="45" applyNumberFormat="1" applyFont="1" applyFill="1" applyBorder="1" applyAlignment="1" applyProtection="0">
      <alignment horizontal="center" vertical="center"/>
    </xf>
    <xf numFmtId="49" fontId="15" fillId="14" borderId="25" applyNumberFormat="1" applyFont="1" applyFill="1" applyBorder="1" applyAlignment="1" applyProtection="0">
      <alignment horizontal="center" vertical="center"/>
    </xf>
    <xf numFmtId="0" fontId="15" fillId="14" borderId="29" applyNumberFormat="0" applyFont="1" applyFill="1" applyBorder="1" applyAlignment="1" applyProtection="0">
      <alignment horizontal="center" vertical="center"/>
    </xf>
    <xf numFmtId="49" fontId="11" fillId="5" borderId="46" applyNumberFormat="1" applyFont="1" applyFill="1" applyBorder="1" applyAlignment="1" applyProtection="0">
      <alignment horizontal="center" vertical="center"/>
    </xf>
    <xf numFmtId="0" fontId="11" fillId="5" borderId="46" applyNumberFormat="0" applyFont="1" applyFill="1" applyBorder="1" applyAlignment="1" applyProtection="0">
      <alignment horizontal="center" vertical="center"/>
    </xf>
    <xf numFmtId="49" fontId="15" fillId="14" borderId="47" applyNumberFormat="1" applyFont="1" applyFill="1" applyBorder="1" applyAlignment="1" applyProtection="0">
      <alignment horizontal="center" vertical="center"/>
    </xf>
    <xf numFmtId="0" fontId="15" fillId="14" borderId="48" applyNumberFormat="0" applyFont="1" applyFill="1" applyBorder="1" applyAlignment="1" applyProtection="0">
      <alignment horizontal="center" vertical="center"/>
    </xf>
    <xf numFmtId="0" fontId="11" fillId="5" borderId="49" applyNumberFormat="0" applyFont="1" applyFill="1" applyBorder="1" applyAlignment="1" applyProtection="0">
      <alignment horizontal="center" vertical="center"/>
    </xf>
    <xf numFmtId="49" fontId="16" fillId="4" borderId="50" applyNumberFormat="1" applyFont="1" applyFill="1" applyBorder="1" applyAlignment="1" applyProtection="0">
      <alignment vertical="center"/>
    </xf>
    <xf numFmtId="0" fontId="8" fillId="4" borderId="50" applyNumberFormat="0" applyFont="1" applyFill="1" applyBorder="1" applyAlignment="1" applyProtection="0">
      <alignment horizontal="left" vertical="bottom"/>
    </xf>
    <xf numFmtId="0" fontId="0" fillId="4" borderId="50" applyNumberFormat="0" applyFont="1" applyFill="1" applyBorder="1" applyAlignment="1" applyProtection="0">
      <alignment horizontal="center" vertical="bottom"/>
    </xf>
    <xf numFmtId="49" fontId="15" fillId="14" borderId="51" applyNumberFormat="1" applyFont="1" applyFill="1" applyBorder="1" applyAlignment="1" applyProtection="0">
      <alignment horizontal="center" vertical="center" wrapText="1"/>
    </xf>
    <xf numFmtId="49" fontId="17" fillId="14" borderId="52" applyNumberFormat="1" applyFont="1" applyFill="1" applyBorder="1" applyAlignment="1" applyProtection="0">
      <alignment horizontal="center" vertical="center" wrapText="1"/>
    </xf>
    <xf numFmtId="2" fontId="11" fillId="5" borderId="53" applyNumberFormat="1" applyFont="1" applyFill="1" applyBorder="1" applyAlignment="1" applyProtection="0">
      <alignment horizontal="center" vertical="center"/>
    </xf>
    <xf numFmtId="49" fontId="11" fillId="4" borderId="12" applyNumberFormat="1" applyFont="1" applyFill="1" applyBorder="1" applyAlignment="1" applyProtection="0">
      <alignment horizontal="center" vertical="center"/>
    </xf>
    <xf numFmtId="0" fontId="11" fillId="4" borderId="4" applyNumberFormat="0" applyFont="1" applyFill="1" applyBorder="1" applyAlignment="1" applyProtection="0">
      <alignment horizontal="center" vertical="center"/>
    </xf>
    <xf numFmtId="10" fontId="0" fillId="4" borderId="4" applyNumberFormat="1" applyFont="1" applyFill="1" applyBorder="1" applyAlignment="1" applyProtection="0">
      <alignment vertical="bottom"/>
    </xf>
    <xf numFmtId="0" fontId="15" fillId="14" borderId="54" applyNumberFormat="0" applyFont="1" applyFill="1" applyBorder="1" applyAlignment="1" applyProtection="0">
      <alignment horizontal="center" vertical="center" wrapText="1"/>
    </xf>
    <xf numFmtId="49" fontId="17" fillId="14" borderId="30" applyNumberFormat="1" applyFont="1" applyFill="1" applyBorder="1" applyAlignment="1" applyProtection="0">
      <alignment horizontal="center" vertical="center" wrapText="1"/>
    </xf>
    <xf numFmtId="2" fontId="11" fillId="5" borderId="32" applyNumberFormat="1" applyFont="1" applyFill="1" applyBorder="1" applyAlignment="1" applyProtection="0">
      <alignment horizontal="center" vertical="center"/>
    </xf>
    <xf numFmtId="0" fontId="15" fillId="14" borderId="55" applyNumberFormat="0" applyFont="1" applyFill="1" applyBorder="1" applyAlignment="1" applyProtection="0">
      <alignment horizontal="center" vertical="center" wrapText="1"/>
    </xf>
    <xf numFmtId="49" fontId="17" fillId="14" borderId="33" applyNumberFormat="1" applyFont="1" applyFill="1" applyBorder="1" applyAlignment="1" applyProtection="0">
      <alignment horizontal="center" vertical="center" wrapText="1"/>
    </xf>
    <xf numFmtId="2" fontId="11" fillId="5" borderId="35" applyNumberFormat="1" applyFont="1" applyFill="1" applyBorder="1" applyAlignment="1" applyProtection="0">
      <alignment horizontal="center" vertical="center"/>
    </xf>
    <xf numFmtId="0" fontId="11" fillId="4" borderId="50" applyNumberFormat="0" applyFont="1" applyFill="1" applyBorder="1" applyAlignment="1" applyProtection="0">
      <alignment horizontal="center" vertical="center"/>
    </xf>
    <xf numFmtId="2" fontId="11" fillId="4" borderId="50" applyNumberFormat="1" applyFont="1" applyFill="1" applyBorder="1" applyAlignment="1" applyProtection="0">
      <alignment horizontal="center" vertical="center"/>
    </xf>
    <xf numFmtId="49" fontId="11" fillId="4" borderId="12" applyNumberFormat="1" applyFont="1" applyFill="1" applyBorder="1" applyAlignment="1" applyProtection="0">
      <alignment horizontal="center" vertical="center" wrapText="1"/>
    </xf>
    <xf numFmtId="0" fontId="11" fillId="4" borderId="4" applyNumberFormat="0" applyFont="1" applyFill="1" applyBorder="1" applyAlignment="1" applyProtection="0">
      <alignment horizontal="center" vertical="center" wrapText="1"/>
    </xf>
    <xf numFmtId="49" fontId="18" fillId="4" borderId="5" applyNumberFormat="1" applyFont="1" applyFill="1" applyBorder="1" applyAlignment="1" applyProtection="0">
      <alignment horizontal="center" vertical="center"/>
    </xf>
    <xf numFmtId="0" fontId="18" fillId="4" borderId="5" applyNumberFormat="0" applyFont="1" applyFill="1" applyBorder="1" applyAlignment="1" applyProtection="0">
      <alignment horizontal="center" vertical="center"/>
    </xf>
    <xf numFmtId="0" fontId="11" fillId="5" borderId="45" applyNumberFormat="0" applyFont="1" applyFill="1" applyBorder="1" applyAlignment="1" applyProtection="0">
      <alignment horizontal="center" vertical="center"/>
    </xf>
    <xf numFmtId="0" fontId="11" fillId="4" borderId="12" applyNumberFormat="0" applyFont="1" applyFill="1" applyBorder="1" applyAlignment="1" applyProtection="0">
      <alignment horizontal="center" vertical="center"/>
    </xf>
    <xf numFmtId="59" fontId="11" fillId="5" borderId="49" applyNumberFormat="1" applyFont="1" applyFill="1" applyBorder="1" applyAlignment="1" applyProtection="0">
      <alignment horizontal="center" vertical="center"/>
    </xf>
    <xf numFmtId="0" fontId="0" borderId="56" applyNumberFormat="0" applyFont="1" applyFill="0" applyBorder="1" applyAlignment="1" applyProtection="0">
      <alignment vertical="bottom"/>
    </xf>
    <xf numFmtId="0" fontId="0" applyNumberFormat="1" applyFont="1" applyFill="0" applyBorder="0" applyAlignment="1" applyProtection="0">
      <alignment vertical="bottom"/>
    </xf>
    <xf numFmtId="0" fontId="19" fillId="4" borderId="6" applyNumberFormat="0" applyFont="1" applyFill="1" applyBorder="1" applyAlignment="1" applyProtection="0">
      <alignment vertical="center"/>
    </xf>
    <xf numFmtId="49" fontId="15" fillId="14" borderId="52" applyNumberFormat="1" applyFont="1" applyFill="1" applyBorder="1" applyAlignment="1" applyProtection="0">
      <alignment horizontal="center" vertical="center"/>
    </xf>
    <xf numFmtId="49" fontId="15" fillId="10" borderId="57" applyNumberFormat="1" applyFont="1" applyFill="1" applyBorder="1" applyAlignment="1" applyProtection="0">
      <alignment horizontal="center" vertical="center"/>
    </xf>
    <xf numFmtId="0" fontId="15" fillId="10" borderId="53" applyNumberFormat="0" applyFont="1" applyFill="1" applyBorder="1" applyAlignment="1" applyProtection="0">
      <alignment horizontal="center" vertical="center"/>
    </xf>
    <xf numFmtId="49" fontId="15" fillId="14" borderId="33" applyNumberFormat="1" applyFont="1" applyFill="1" applyBorder="1" applyAlignment="1" applyProtection="0">
      <alignment horizontal="center" vertical="center"/>
    </xf>
    <xf numFmtId="49" fontId="15" fillId="10" borderId="34" applyNumberFormat="1" applyFont="1" applyFill="1" applyBorder="1" applyAlignment="1" applyProtection="0">
      <alignment horizontal="center" vertical="center"/>
    </xf>
    <xf numFmtId="0" fontId="15" fillId="10" borderId="35" applyNumberFormat="0" applyFont="1" applyFill="1" applyBorder="1" applyAlignment="1" applyProtection="0">
      <alignment horizontal="center" vertical="center"/>
    </xf>
    <xf numFmtId="0" fontId="19" fillId="4" borderId="3" applyNumberFormat="0" applyFont="1" applyFill="1" applyBorder="1" applyAlignment="1" applyProtection="0">
      <alignment vertical="center"/>
    </xf>
    <xf numFmtId="0" fontId="19" fillId="4" borderId="10" applyNumberFormat="0" applyFont="1" applyFill="1" applyBorder="1" applyAlignment="1" applyProtection="0">
      <alignment vertical="center"/>
    </xf>
    <xf numFmtId="0" fontId="11" fillId="4" borderId="3" applyNumberFormat="0" applyFont="1" applyFill="1" applyBorder="1" applyAlignment="1" applyProtection="0">
      <alignment vertical="center"/>
    </xf>
    <xf numFmtId="49" fontId="16" fillId="4" borderId="5" applyNumberFormat="1" applyFont="1" applyFill="1" applyBorder="1" applyAlignment="1" applyProtection="0">
      <alignment vertical="center"/>
    </xf>
    <xf numFmtId="0" fontId="20" fillId="4" borderId="5" applyNumberFormat="0" applyFont="1" applyFill="1" applyBorder="1" applyAlignment="1" applyProtection="0">
      <alignment vertical="bottom"/>
    </xf>
    <xf numFmtId="49" fontId="15" fillId="14" borderId="52" applyNumberFormat="1" applyFont="1" applyFill="1" applyBorder="1" applyAlignment="1" applyProtection="0">
      <alignment horizontal="center" vertical="center" wrapText="1"/>
    </xf>
    <xf numFmtId="49" fontId="2" fillId="5" borderId="57" applyNumberFormat="1" applyFont="1" applyFill="1" applyBorder="1" applyAlignment="1" applyProtection="0">
      <alignment horizontal="center" vertical="center"/>
    </xf>
    <xf numFmtId="49" fontId="11" fillId="15" borderId="53" applyNumberFormat="1" applyFont="1" applyFill="1" applyBorder="1" applyAlignment="1" applyProtection="0">
      <alignment horizontal="center" vertical="center" wrapText="1"/>
    </xf>
    <xf numFmtId="49" fontId="10" fillId="4" borderId="12" applyNumberFormat="1" applyFont="1" applyFill="1" applyBorder="1" applyAlignment="1" applyProtection="0">
      <alignment horizontal="center" vertical="center" wrapText="1"/>
    </xf>
    <xf numFmtId="0" fontId="10" fillId="4" borderId="4" applyNumberFormat="0" applyFont="1" applyFill="1" applyBorder="1" applyAlignment="1" applyProtection="0">
      <alignment horizontal="center" vertical="center" wrapText="1"/>
    </xf>
    <xf numFmtId="49" fontId="15" fillId="14" borderId="30" applyNumberFormat="1" applyFont="1" applyFill="1" applyBorder="1" applyAlignment="1" applyProtection="0">
      <alignment horizontal="center" vertical="center" wrapText="1"/>
    </xf>
    <xf numFmtId="0" fontId="2" fillId="5" borderId="31" applyNumberFormat="1" applyFont="1" applyFill="1" applyBorder="1" applyAlignment="1" applyProtection="0">
      <alignment horizontal="center" vertical="center"/>
    </xf>
    <xf numFmtId="49" fontId="22" fillId="15" borderId="32" applyNumberFormat="1" applyFont="1" applyFill="1" applyBorder="1" applyAlignment="1" applyProtection="0">
      <alignment horizontal="center" vertical="center" wrapText="1"/>
    </xf>
    <xf numFmtId="49" fontId="11" fillId="7" borderId="30" applyNumberFormat="1" applyFont="1" applyFill="1" applyBorder="1" applyAlignment="1" applyProtection="0">
      <alignment horizontal="center" vertical="center" wrapText="1"/>
    </xf>
    <xf numFmtId="49" fontId="2" fillId="15" borderId="32" applyNumberFormat="1" applyFont="1" applyFill="1" applyBorder="1" applyAlignment="1" applyProtection="0">
      <alignment horizontal="center" vertical="center" wrapText="1"/>
    </xf>
    <xf numFmtId="49" fontId="11" fillId="7" borderId="33" applyNumberFormat="1" applyFont="1" applyFill="1" applyBorder="1" applyAlignment="1" applyProtection="0">
      <alignment horizontal="center" vertical="center" wrapText="1"/>
    </xf>
    <xf numFmtId="0" fontId="2" fillId="5" borderId="34" applyNumberFormat="0" applyFont="1" applyFill="1" applyBorder="1" applyAlignment="1" applyProtection="0">
      <alignment horizontal="center" vertical="center"/>
    </xf>
    <xf numFmtId="49" fontId="2" fillId="15" borderId="35" applyNumberFormat="1" applyFont="1" applyFill="1" applyBorder="1" applyAlignment="1" applyProtection="0">
      <alignment horizontal="center" vertical="center" wrapText="1"/>
    </xf>
    <xf numFmtId="0" fontId="22" fillId="4" borderId="50" applyNumberFormat="0" applyFont="1" applyFill="1" applyBorder="1" applyAlignment="1" applyProtection="0">
      <alignment horizontal="center" vertical="center"/>
    </xf>
    <xf numFmtId="0" fontId="22" fillId="4" borderId="50" applyNumberFormat="0" applyFont="1" applyFill="1" applyBorder="1" applyAlignment="1" applyProtection="0">
      <alignment horizontal="center" vertical="center" wrapText="1"/>
    </xf>
    <xf numFmtId="49" fontId="2" fillId="5" borderId="31" applyNumberFormat="1" applyFont="1" applyFill="1" applyBorder="1" applyAlignment="1" applyProtection="0">
      <alignment horizontal="center" vertical="center"/>
    </xf>
    <xf numFmtId="49" fontId="11" fillId="15" borderId="32" applyNumberFormat="1" applyFont="1" applyFill="1" applyBorder="1" applyAlignment="1" applyProtection="0">
      <alignment horizontal="center" vertical="center" wrapText="1"/>
    </xf>
    <xf numFmtId="49" fontId="2" fillId="5" borderId="58" applyNumberFormat="1" applyFont="1" applyFill="1" applyBorder="1" applyAlignment="1" applyProtection="0">
      <alignment horizontal="center" vertical="center" wrapText="1"/>
    </xf>
    <xf numFmtId="0" fontId="2" fillId="5" borderId="59" applyNumberFormat="0" applyFont="1" applyFill="1" applyBorder="1" applyAlignment="1" applyProtection="0">
      <alignment horizontal="center" vertical="center" wrapText="1"/>
    </xf>
    <xf numFmtId="49" fontId="15" fillId="14" borderId="33" applyNumberFormat="1" applyFont="1" applyFill="1" applyBorder="1" applyAlignment="1" applyProtection="0">
      <alignment horizontal="center" vertical="center" wrapText="1"/>
    </xf>
    <xf numFmtId="0" fontId="2" fillId="5" borderId="60" applyNumberFormat="0" applyFont="1" applyFill="1" applyBorder="1" applyAlignment="1" applyProtection="0">
      <alignment horizontal="center" vertical="center" wrapText="1"/>
    </xf>
    <xf numFmtId="0" fontId="2" fillId="5" borderId="61" applyNumberFormat="0" applyFont="1" applyFill="1" applyBorder="1" applyAlignment="1" applyProtection="0">
      <alignment horizontal="center" vertical="center" wrapText="1"/>
    </xf>
    <xf numFmtId="49" fontId="16" fillId="4" borderId="50" applyNumberFormat="1" applyFont="1" applyFill="1" applyBorder="1" applyAlignment="1" applyProtection="0">
      <alignment horizontal="left" vertical="center" wrapText="1"/>
    </xf>
    <xf numFmtId="0" fontId="0" fillId="4" borderId="50" applyNumberFormat="0" applyFont="1" applyFill="1" applyBorder="1" applyAlignment="1" applyProtection="0">
      <alignment vertical="bottom"/>
    </xf>
    <xf numFmtId="49" fontId="15" fillId="14" borderId="62" applyNumberFormat="1" applyFont="1" applyFill="1" applyBorder="1" applyAlignment="1" applyProtection="0">
      <alignment horizontal="center" vertical="center" wrapText="1"/>
    </xf>
    <xf numFmtId="49" fontId="2" fillId="5" borderId="63" applyNumberFormat="1" applyFont="1" applyFill="1" applyBorder="1" applyAlignment="1" applyProtection="0">
      <alignment horizontal="center" vertical="center"/>
    </xf>
    <xf numFmtId="49" fontId="11" fillId="15" borderId="64" applyNumberFormat="1" applyFont="1" applyFill="1" applyBorder="1" applyAlignment="1" applyProtection="0">
      <alignment horizontal="center" vertical="center" wrapText="1"/>
    </xf>
    <xf numFmtId="49" fontId="22" fillId="15" borderId="53" applyNumberFormat="1" applyFont="1" applyFill="1" applyBorder="1" applyAlignment="1" applyProtection="0">
      <alignment horizontal="center" vertical="center" wrapText="1"/>
    </xf>
    <xf numFmtId="49" fontId="2" fillId="5" borderId="60" applyNumberFormat="1" applyFont="1" applyFill="1" applyBorder="1" applyAlignment="1" applyProtection="0">
      <alignment horizontal="center" vertical="center" wrapText="1"/>
    </xf>
    <xf numFmtId="49" fontId="15" fillId="14" borderId="65" applyNumberFormat="1" applyFont="1" applyFill="1" applyBorder="1" applyAlignment="1" applyProtection="0">
      <alignment horizontal="center" vertical="center" wrapText="1"/>
    </xf>
    <xf numFmtId="0" fontId="0" fillId="5" borderId="66" applyNumberFormat="0" applyFont="1" applyFill="1" applyBorder="1" applyAlignment="1" applyProtection="0">
      <alignment horizontal="center" vertical="bottom" wrapText="1"/>
    </xf>
    <xf numFmtId="0" fontId="0" fillId="5" borderId="41" applyNumberFormat="0" applyFont="1" applyFill="1" applyBorder="1" applyAlignment="1" applyProtection="0">
      <alignment horizontal="center" vertical="bottom" wrapText="1"/>
    </xf>
    <xf numFmtId="0" fontId="0" borderId="4" applyNumberFormat="0" applyFont="1" applyFill="0" applyBorder="1" applyAlignment="1" applyProtection="0">
      <alignment vertical="bottom"/>
    </xf>
    <xf numFmtId="0" fontId="0" fillId="4" applyNumberFormat="1" applyFont="1" applyFill="1" applyBorder="0" applyAlignment="1" applyProtection="0">
      <alignment vertical="bottom"/>
    </xf>
    <xf numFmtId="0" fontId="0" fillId="4" borderId="67" applyNumberFormat="0" applyFont="1" applyFill="1" applyBorder="1" applyAlignment="1" applyProtection="0">
      <alignment vertical="bottom"/>
    </xf>
    <xf numFmtId="49" fontId="15" fillId="14" borderId="52" applyNumberFormat="1" applyFont="1" applyFill="1" applyBorder="1" applyAlignment="1" applyProtection="0">
      <alignment horizontal="center" vertical="bottom"/>
    </xf>
    <xf numFmtId="0" fontId="15" fillId="14" borderId="57" applyNumberFormat="0" applyFont="1" applyFill="1" applyBorder="1" applyAlignment="1" applyProtection="0">
      <alignment horizontal="center" vertical="bottom"/>
    </xf>
    <xf numFmtId="49" fontId="15" fillId="10" borderId="53" applyNumberFormat="1" applyFont="1" applyFill="1" applyBorder="1" applyAlignment="1" applyProtection="0">
      <alignment horizontal="center" vertical="bottom"/>
    </xf>
    <xf numFmtId="49" fontId="9" fillId="4" borderId="12" applyNumberFormat="1" applyFont="1" applyFill="1" applyBorder="1" applyAlignment="1" applyProtection="0">
      <alignment horizontal="center" vertical="center"/>
    </xf>
    <xf numFmtId="0" fontId="0" fillId="4" borderId="56" applyNumberFormat="0" applyFont="1" applyFill="1" applyBorder="1" applyAlignment="1" applyProtection="0">
      <alignment vertical="bottom"/>
    </xf>
    <xf numFmtId="49" fontId="15" fillId="14" borderId="33" applyNumberFormat="1" applyFont="1" applyFill="1" applyBorder="1" applyAlignment="1" applyProtection="0">
      <alignment horizontal="center" vertical="bottom"/>
    </xf>
    <xf numFmtId="0" fontId="15" fillId="14" borderId="34" applyNumberFormat="0" applyFont="1" applyFill="1" applyBorder="1" applyAlignment="1" applyProtection="0">
      <alignment horizontal="center" vertical="bottom"/>
    </xf>
    <xf numFmtId="49" fontId="15" fillId="10" borderId="35" applyNumberFormat="1" applyFont="1" applyFill="1" applyBorder="1" applyAlignment="1" applyProtection="0">
      <alignment horizontal="center" vertical="bottom"/>
    </xf>
    <xf numFmtId="0" fontId="9" fillId="4" borderId="12" applyNumberFormat="0" applyFont="1" applyFill="1" applyBorder="1" applyAlignment="1" applyProtection="0">
      <alignment horizontal="center" vertical="center"/>
    </xf>
    <xf numFmtId="49" fontId="16" fillId="4" borderId="4" applyNumberFormat="1" applyFont="1" applyFill="1" applyBorder="1" applyAlignment="1" applyProtection="0">
      <alignment vertical="bottom"/>
    </xf>
    <xf numFmtId="0" fontId="23" fillId="4" borderId="4" applyNumberFormat="0" applyFont="1" applyFill="1" applyBorder="1" applyAlignment="1" applyProtection="0">
      <alignment vertical="bottom"/>
    </xf>
    <xf numFmtId="49" fontId="13" fillId="5" borderId="4" applyNumberFormat="1" applyFont="1" applyFill="1" applyBorder="1" applyAlignment="1" applyProtection="0">
      <alignment horizontal="center" vertical="center" wrapText="1"/>
    </xf>
    <xf numFmtId="0" fontId="13" fillId="5" borderId="4" applyNumberFormat="0" applyFont="1" applyFill="1" applyBorder="1" applyAlignment="1" applyProtection="0">
      <alignment horizontal="center" vertical="center" wrapText="1"/>
    </xf>
    <xf numFmtId="49" fontId="15" fillId="14" borderId="65" applyNumberFormat="1" applyFont="1" applyFill="1" applyBorder="1" applyAlignment="1" applyProtection="0">
      <alignment vertical="center"/>
    </xf>
    <xf numFmtId="49" fontId="15" fillId="14" borderId="66" applyNumberFormat="1" applyFont="1" applyFill="1" applyBorder="1" applyAlignment="1" applyProtection="0">
      <alignment horizontal="center" vertical="center"/>
    </xf>
    <xf numFmtId="49" fontId="15" fillId="14" borderId="41" applyNumberFormat="1" applyFont="1" applyFill="1" applyBorder="1" applyAlignment="1" applyProtection="0">
      <alignment horizontal="center" vertical="center"/>
    </xf>
    <xf numFmtId="0" fontId="24" fillId="10" borderId="52" applyNumberFormat="1" applyFont="1" applyFill="1" applyBorder="1" applyAlignment="1" applyProtection="0">
      <alignment horizontal="center" vertical="center"/>
    </xf>
    <xf numFmtId="49" fontId="15" fillId="14" borderId="57" applyNumberFormat="1" applyFont="1" applyFill="1" applyBorder="1" applyAlignment="1" applyProtection="0">
      <alignment horizontal="center" vertical="center"/>
    </xf>
    <xf numFmtId="49" fontId="11" fillId="5" borderId="57" applyNumberFormat="1" applyFont="1" applyFill="1" applyBorder="1" applyAlignment="1" applyProtection="0">
      <alignment horizontal="center" vertical="center"/>
    </xf>
    <xf numFmtId="59" fontId="11" fillId="5" borderId="53" applyNumberFormat="1" applyFont="1" applyFill="1" applyBorder="1" applyAlignment="1" applyProtection="0">
      <alignment horizontal="center" vertical="center"/>
    </xf>
    <xf numFmtId="0" fontId="24" fillId="10" borderId="33" applyNumberFormat="0" applyFont="1" applyFill="1" applyBorder="1" applyAlignment="1" applyProtection="0">
      <alignment horizontal="center" vertical="center"/>
    </xf>
    <xf numFmtId="49" fontId="0" fillId="15" borderId="34" applyNumberFormat="1" applyFont="1" applyFill="1" applyBorder="1" applyAlignment="1" applyProtection="0">
      <alignment horizontal="center" vertical="center" wrapText="1"/>
    </xf>
    <xf numFmtId="0" fontId="0" fillId="5" borderId="34" applyNumberFormat="0" applyFont="1" applyFill="1" applyBorder="1" applyAlignment="1" applyProtection="0">
      <alignment horizontal="center" vertical="center"/>
    </xf>
    <xf numFmtId="0" fontId="0" fillId="5" borderId="35" applyNumberFormat="0" applyFont="1" applyFill="1" applyBorder="1" applyAlignment="1" applyProtection="0">
      <alignment horizontal="center" vertical="center"/>
    </xf>
    <xf numFmtId="0" fontId="0" fillId="16" borderId="56" applyNumberFormat="0" applyFont="1" applyFill="1" applyBorder="1" applyAlignment="1" applyProtection="0">
      <alignment vertical="bottom"/>
    </xf>
    <xf numFmtId="59" fontId="11" fillId="5" borderId="57" applyNumberFormat="1" applyFont="1" applyFill="1" applyBorder="1" applyAlignment="1" applyProtection="0">
      <alignment horizontal="center" vertical="center"/>
    </xf>
    <xf numFmtId="59" fontId="0" fillId="5" borderId="57" applyNumberFormat="1" applyFont="1" applyFill="1" applyBorder="1" applyAlignment="1" applyProtection="0">
      <alignment horizontal="center" vertical="center"/>
    </xf>
    <xf numFmtId="59" fontId="0" fillId="5" borderId="53" applyNumberFormat="1" applyFont="1" applyFill="1" applyBorder="1" applyAlignment="1" applyProtection="0">
      <alignment horizontal="center" vertical="center"/>
    </xf>
    <xf numFmtId="0" fontId="0" fillId="16" borderId="4" applyNumberFormat="0" applyFont="1" applyFill="1" applyBorder="1" applyAlignment="1" applyProtection="0">
      <alignment vertical="bottom"/>
    </xf>
    <xf numFmtId="0" fontId="0" fillId="16" borderId="42" applyNumberFormat="0" applyFont="1" applyFill="1" applyBorder="1" applyAlignment="1" applyProtection="0">
      <alignment vertical="bottom"/>
    </xf>
    <xf numFmtId="0" fontId="0" fillId="16" borderId="3" applyNumberFormat="0" applyFont="1" applyFill="1" applyBorder="1" applyAlignment="1" applyProtection="0">
      <alignment vertical="bottom"/>
    </xf>
    <xf numFmtId="0" fontId="0" fillId="4" borderId="68" applyNumberFormat="0" applyFont="1" applyFill="1" applyBorder="1" applyAlignment="1" applyProtection="0">
      <alignment vertical="bottom"/>
    </xf>
    <xf numFmtId="0" fontId="0" fillId="4" borderId="69" applyNumberFormat="0" applyFont="1" applyFill="1" applyBorder="1" applyAlignment="1" applyProtection="0">
      <alignment vertical="bottom"/>
    </xf>
    <xf numFmtId="0" fontId="0" fillId="4" borderId="70" applyNumberFormat="0" applyFont="1" applyFill="1" applyBorder="1" applyAlignment="1" applyProtection="0">
      <alignment vertical="bottom"/>
    </xf>
    <xf numFmtId="0" fontId="0" fillId="4" borderId="36" applyNumberFormat="0" applyFont="1" applyFill="1" applyBorder="1" applyAlignment="1" applyProtection="0">
      <alignment vertical="bottom"/>
    </xf>
    <xf numFmtId="0" fontId="0" applyNumberFormat="1" applyFont="1" applyFill="0" applyBorder="0" applyAlignment="1" applyProtection="0">
      <alignment vertical="bottom"/>
    </xf>
    <xf numFmtId="0" fontId="19" fillId="4" borderId="2" applyNumberFormat="0" applyFont="1" applyFill="1" applyBorder="1" applyAlignment="1" applyProtection="0">
      <alignment vertical="center" wrapText="1"/>
    </xf>
    <xf numFmtId="0" fontId="19" fillId="4" borderId="71" applyNumberFormat="0" applyFont="1" applyFill="1" applyBorder="1" applyAlignment="1" applyProtection="0">
      <alignment vertical="center" wrapText="1"/>
    </xf>
    <xf numFmtId="49" fontId="24" fillId="14" borderId="52" applyNumberFormat="1" applyFont="1" applyFill="1" applyBorder="1" applyAlignment="1" applyProtection="0">
      <alignment horizontal="center" vertical="center" wrapText="1"/>
    </xf>
    <xf numFmtId="60" fontId="13" fillId="8" borderId="32" applyNumberFormat="1" applyFont="1" applyFill="1" applyBorder="1" applyAlignment="1" applyProtection="0">
      <alignment horizontal="center" vertical="center" wrapText="1"/>
    </xf>
    <xf numFmtId="0" fontId="0" fillId="4" borderId="72" applyNumberFormat="0" applyFont="1" applyFill="1" applyBorder="1" applyAlignment="1" applyProtection="0">
      <alignment vertical="bottom"/>
    </xf>
    <xf numFmtId="49" fontId="25" fillId="17" borderId="2" applyNumberFormat="1" applyFont="1" applyFill="1" applyBorder="1" applyAlignment="1" applyProtection="0">
      <alignment horizontal="center" vertical="center"/>
    </xf>
    <xf numFmtId="0" fontId="26" fillId="4" borderId="2" applyNumberFormat="0" applyFont="1" applyFill="1" applyBorder="1" applyAlignment="1" applyProtection="0">
      <alignment vertical="bottom"/>
    </xf>
    <xf numFmtId="49" fontId="15" fillId="14" borderId="45" applyNumberFormat="1" applyFont="1" applyFill="1" applyBorder="1" applyAlignment="1" applyProtection="0">
      <alignment horizontal="center" vertical="bottom"/>
    </xf>
    <xf numFmtId="49" fontId="15" fillId="10" borderId="52" applyNumberFormat="1" applyFont="1" applyFill="1" applyBorder="1" applyAlignment="1" applyProtection="0">
      <alignment horizontal="center" vertical="bottom"/>
    </xf>
    <xf numFmtId="0" fontId="15" fillId="10" borderId="53" applyNumberFormat="0" applyFont="1" applyFill="1" applyBorder="1" applyAlignment="1" applyProtection="0">
      <alignment horizontal="center" vertical="bottom"/>
    </xf>
    <xf numFmtId="0" fontId="0" fillId="4" borderId="54" applyNumberFormat="0" applyFont="1" applyFill="1" applyBorder="1" applyAlignment="1" applyProtection="0">
      <alignment vertical="bottom"/>
    </xf>
    <xf numFmtId="49" fontId="0" fillId="5" borderId="7" applyNumberFormat="1" applyFont="1" applyFill="1" applyBorder="1" applyAlignment="1" applyProtection="0">
      <alignment horizontal="left" vertical="center" wrapText="1"/>
    </xf>
    <xf numFmtId="0" fontId="0" fillId="5" borderId="73" applyNumberFormat="0" applyFont="1" applyFill="1" applyBorder="1" applyAlignment="1" applyProtection="0">
      <alignment horizontal="left" vertical="center"/>
    </xf>
    <xf numFmtId="0" fontId="0" fillId="5" borderId="74" applyNumberFormat="0" applyFont="1" applyFill="1" applyBorder="1" applyAlignment="1" applyProtection="0">
      <alignment horizontal="left" vertical="center"/>
    </xf>
    <xf numFmtId="0" fontId="27" fillId="4" borderId="12" applyNumberFormat="0" applyFont="1" applyFill="1" applyBorder="1" applyAlignment="1" applyProtection="0">
      <alignment vertical="center" wrapText="1"/>
    </xf>
    <xf numFmtId="49" fontId="9" fillId="18" borderId="4" applyNumberFormat="1" applyFont="1" applyFill="1" applyBorder="1" applyAlignment="1" applyProtection="0">
      <alignment horizontal="center" vertical="center" wrapText="1"/>
    </xf>
    <xf numFmtId="0" fontId="9" fillId="18" borderId="4" applyNumberFormat="0" applyFont="1" applyFill="1" applyBorder="1" applyAlignment="1" applyProtection="0">
      <alignment horizontal="center" vertical="center" wrapText="1"/>
    </xf>
    <xf numFmtId="0" fontId="27" fillId="4" borderId="75" applyNumberFormat="0" applyFont="1" applyFill="1" applyBorder="1" applyAlignment="1" applyProtection="0">
      <alignment vertical="center" wrapText="1"/>
    </xf>
    <xf numFmtId="49" fontId="24" fillId="14" borderId="30" applyNumberFormat="1" applyFont="1" applyFill="1" applyBorder="1" applyAlignment="1" applyProtection="0">
      <alignment horizontal="center" vertical="center" wrapText="1"/>
    </xf>
    <xf numFmtId="0" fontId="25" fillId="17" borderId="4" applyNumberFormat="0" applyFont="1" applyFill="1" applyBorder="1" applyAlignment="1" applyProtection="0">
      <alignment horizontal="center" vertical="center"/>
    </xf>
    <xf numFmtId="0" fontId="26" fillId="4" borderId="4" applyNumberFormat="0" applyFont="1" applyFill="1" applyBorder="1" applyAlignment="1" applyProtection="0">
      <alignment vertical="bottom"/>
    </xf>
    <xf numFmtId="49" fontId="15" fillId="14" borderId="49" applyNumberFormat="1" applyFont="1" applyFill="1" applyBorder="1" applyAlignment="1" applyProtection="0">
      <alignment horizontal="center" vertical="bottom"/>
    </xf>
    <xf numFmtId="49" fontId="15" fillId="10" borderId="33" applyNumberFormat="1" applyFont="1" applyFill="1" applyBorder="1" applyAlignment="1" applyProtection="0">
      <alignment horizontal="center" vertical="bottom"/>
    </xf>
    <xf numFmtId="0" fontId="15" fillId="10" borderId="35" applyNumberFormat="0" applyFont="1" applyFill="1" applyBorder="1" applyAlignment="1" applyProtection="0">
      <alignment horizontal="center" vertical="bottom"/>
    </xf>
    <xf numFmtId="0" fontId="0" fillId="5" borderId="76" applyNumberFormat="0" applyFont="1" applyFill="1" applyBorder="1" applyAlignment="1" applyProtection="0">
      <alignment horizontal="left" vertical="center"/>
    </xf>
    <xf numFmtId="0" fontId="0" fillId="5" borderId="77" applyNumberFormat="0" applyFont="1" applyFill="1" applyBorder="1" applyAlignment="1" applyProtection="0">
      <alignment horizontal="left" vertical="center"/>
    </xf>
    <xf numFmtId="0" fontId="0" fillId="5" borderId="78" applyNumberFormat="0" applyFont="1" applyFill="1" applyBorder="1" applyAlignment="1" applyProtection="0">
      <alignment horizontal="left" vertical="center"/>
    </xf>
    <xf numFmtId="0" fontId="27" fillId="4" borderId="10" applyNumberFormat="0" applyFont="1" applyFill="1" applyBorder="1" applyAlignment="1" applyProtection="0">
      <alignment horizontal="center" vertical="center" wrapText="1"/>
    </xf>
    <xf numFmtId="0" fontId="0" fillId="4" borderId="75" applyNumberFormat="0" applyFont="1" applyFill="1" applyBorder="1" applyAlignment="1" applyProtection="0">
      <alignment vertical="bottom"/>
    </xf>
    <xf numFmtId="0" fontId="0" fillId="4" borderId="3" applyNumberFormat="0" applyFont="1" applyFill="1" applyBorder="1" applyAlignment="1" applyProtection="0">
      <alignment horizontal="center" vertical="bottom" wrapText="1"/>
    </xf>
    <xf numFmtId="49" fontId="24" fillId="14" borderId="33" applyNumberFormat="1" applyFont="1" applyFill="1" applyBorder="1" applyAlignment="1" applyProtection="0">
      <alignment horizontal="center" vertical="center" wrapText="1"/>
    </xf>
    <xf numFmtId="60" fontId="13" fillId="8" borderId="35" applyNumberFormat="1" applyFont="1" applyFill="1" applyBorder="1" applyAlignment="1" applyProtection="0">
      <alignment horizontal="center" vertical="center" wrapText="1"/>
    </xf>
    <xf numFmtId="0" fontId="0" fillId="5" borderId="79" applyNumberFormat="0" applyFont="1" applyFill="1" applyBorder="1" applyAlignment="1" applyProtection="0">
      <alignment horizontal="left" vertical="center"/>
    </xf>
    <xf numFmtId="0" fontId="0" fillId="5" borderId="80" applyNumberFormat="0" applyFont="1" applyFill="1" applyBorder="1" applyAlignment="1" applyProtection="0">
      <alignment horizontal="left" vertical="center"/>
    </xf>
    <xf numFmtId="0" fontId="0" fillId="5" borderId="81" applyNumberFormat="0" applyFont="1" applyFill="1" applyBorder="1" applyAlignment="1" applyProtection="0">
      <alignment horizontal="left" vertical="center"/>
    </xf>
    <xf numFmtId="0" fontId="19" fillId="4" borderId="12" applyNumberFormat="0" applyFont="1" applyFill="1" applyBorder="1" applyAlignment="1" applyProtection="0">
      <alignment vertical="center" wrapText="1"/>
    </xf>
    <xf numFmtId="0" fontId="19" fillId="4" borderId="4" applyNumberFormat="0" applyFont="1" applyFill="1" applyBorder="1" applyAlignment="1" applyProtection="0">
      <alignment vertical="center" wrapText="1"/>
    </xf>
    <xf numFmtId="0" fontId="9" fillId="4" borderId="10" applyNumberFormat="0" applyFont="1" applyFill="1" applyBorder="1" applyAlignment="1" applyProtection="0">
      <alignment horizontal="center" vertical="center" wrapText="1"/>
    </xf>
    <xf numFmtId="0" fontId="10" fillId="4" borderId="4" applyNumberFormat="0" applyFont="1" applyFill="1" applyBorder="1" applyAlignment="1" applyProtection="0">
      <alignment vertical="bottom"/>
    </xf>
    <xf numFmtId="0" fontId="26" fillId="4" borderId="10" applyNumberFormat="0" applyFont="1" applyFill="1" applyBorder="1" applyAlignment="1" applyProtection="0">
      <alignment vertical="bottom"/>
    </xf>
    <xf numFmtId="0" fontId="0" fillId="4" borderId="4" applyNumberFormat="0" applyFont="1" applyFill="1" applyBorder="1" applyAlignment="1" applyProtection="0">
      <alignment vertical="bottom" wrapText="1"/>
    </xf>
    <xf numFmtId="0" fontId="26" fillId="4" borderId="3" applyNumberFormat="0" applyFont="1" applyFill="1" applyBorder="1" applyAlignment="1" applyProtection="0">
      <alignment vertical="bottom" wrapText="1"/>
    </xf>
    <xf numFmtId="0" fontId="26" fillId="4" borderId="6" applyNumberFormat="0" applyFont="1" applyFill="1" applyBorder="1" applyAlignment="1" applyProtection="0">
      <alignment vertical="bottom" wrapText="1"/>
    </xf>
    <xf numFmtId="49" fontId="24" fillId="14" borderId="45" applyNumberFormat="1" applyFont="1" applyFill="1" applyBorder="1" applyAlignment="1" applyProtection="0">
      <alignment horizontal="center" vertical="center" wrapText="1"/>
    </xf>
    <xf numFmtId="0" fontId="24" fillId="14" borderId="57" applyNumberFormat="0" applyFont="1" applyFill="1" applyBorder="1" applyAlignment="1" applyProtection="0">
      <alignment horizontal="center" vertical="center" wrapText="1"/>
    </xf>
    <xf numFmtId="0" fontId="24" fillId="14" borderId="53" applyNumberFormat="0" applyFont="1" applyFill="1" applyBorder="1" applyAlignment="1" applyProtection="0">
      <alignment horizontal="center" vertical="center" wrapText="1"/>
    </xf>
    <xf numFmtId="49" fontId="24" fillId="14" borderId="82" applyNumberFormat="1" applyFont="1" applyFill="1" applyBorder="1" applyAlignment="1" applyProtection="0">
      <alignment horizontal="center" vertical="center" wrapText="1"/>
    </xf>
    <xf numFmtId="0" fontId="24" fillId="14" borderId="10" applyNumberFormat="0" applyFont="1" applyFill="1" applyBorder="1" applyAlignment="1" applyProtection="0">
      <alignment horizontal="center" vertical="center" wrapText="1"/>
    </xf>
    <xf numFmtId="0" fontId="24" fillId="14" borderId="11" applyNumberFormat="0" applyFont="1" applyFill="1" applyBorder="1" applyAlignment="1" applyProtection="0">
      <alignment horizontal="center" vertical="center" wrapText="1"/>
    </xf>
    <xf numFmtId="49" fontId="24" fillId="14" borderId="52" applyNumberFormat="1" applyFont="1" applyFill="1" applyBorder="1" applyAlignment="1" applyProtection="0">
      <alignment horizontal="center" vertical="center"/>
    </xf>
    <xf numFmtId="0" fontId="24" fillId="14" borderId="57" applyNumberFormat="0" applyFont="1" applyFill="1" applyBorder="1" applyAlignment="1" applyProtection="0">
      <alignment horizontal="center" vertical="center"/>
    </xf>
    <xf numFmtId="0" fontId="24" fillId="14" borderId="53" applyNumberFormat="0" applyFont="1" applyFill="1" applyBorder="1" applyAlignment="1" applyProtection="0">
      <alignment horizontal="center" vertical="center"/>
    </xf>
    <xf numFmtId="49" fontId="29" fillId="14" borderId="52" applyNumberFormat="1" applyFont="1" applyFill="1" applyBorder="1" applyAlignment="1" applyProtection="0">
      <alignment horizontal="center" vertical="center" wrapText="1"/>
    </xf>
    <xf numFmtId="0" fontId="29" fillId="14" borderId="57" applyNumberFormat="0" applyFont="1" applyFill="1" applyBorder="1" applyAlignment="1" applyProtection="0">
      <alignment horizontal="center" vertical="center" wrapText="1"/>
    </xf>
    <xf numFmtId="0" fontId="29" fillId="14" borderId="53" applyNumberFormat="0" applyFont="1" applyFill="1" applyBorder="1" applyAlignment="1" applyProtection="0">
      <alignment horizontal="center" vertical="center" wrapText="1"/>
    </xf>
    <xf numFmtId="0" fontId="29" fillId="4" borderId="12" applyNumberFormat="0" applyFont="1" applyFill="1" applyBorder="1" applyAlignment="1" applyProtection="0">
      <alignment horizontal="center" vertical="center" wrapText="1"/>
    </xf>
    <xf numFmtId="0" fontId="29" fillId="4" borderId="4" applyNumberFormat="0" applyFont="1" applyFill="1" applyBorder="1" applyAlignment="1" applyProtection="0">
      <alignment horizontal="center" vertical="center" wrapText="1"/>
    </xf>
    <xf numFmtId="0" fontId="29" fillId="4" borderId="75" applyNumberFormat="0" applyFont="1" applyFill="1" applyBorder="1" applyAlignment="1" applyProtection="0">
      <alignment horizontal="center" vertical="center" wrapText="1"/>
    </xf>
    <xf numFmtId="49" fontId="29" fillId="14" borderId="45" applyNumberFormat="1" applyFont="1" applyFill="1" applyBorder="1" applyAlignment="1" applyProtection="0">
      <alignment horizontal="center" vertical="center" wrapText="1"/>
    </xf>
    <xf numFmtId="0" fontId="24" fillId="14" borderId="49" applyNumberFormat="0" applyFont="1" applyFill="1" applyBorder="1" applyAlignment="1" applyProtection="0">
      <alignment horizontal="center" vertical="center" wrapText="1"/>
    </xf>
    <xf numFmtId="49" fontId="24" fillId="9" borderId="34" applyNumberFormat="1" applyFont="1" applyFill="1" applyBorder="1" applyAlignment="1" applyProtection="0">
      <alignment horizontal="center" vertical="center" wrapText="1"/>
    </xf>
    <xf numFmtId="0" fontId="24" fillId="9" borderId="35" applyNumberFormat="0" applyFont="1" applyFill="1" applyBorder="1" applyAlignment="1" applyProtection="0">
      <alignment horizontal="center" vertical="center" wrapText="1"/>
    </xf>
    <xf numFmtId="0" fontId="24" fillId="14" borderId="83" applyNumberFormat="0" applyFont="1" applyFill="1" applyBorder="1" applyAlignment="1" applyProtection="0">
      <alignment horizontal="center" vertical="center" wrapText="1"/>
    </xf>
    <xf numFmtId="0" fontId="24" fillId="14" borderId="5" applyNumberFormat="0" applyFont="1" applyFill="1" applyBorder="1" applyAlignment="1" applyProtection="0">
      <alignment horizontal="center" vertical="center" wrapText="1"/>
    </xf>
    <xf numFmtId="0" fontId="24" fillId="14" borderId="84" applyNumberFormat="0" applyFont="1" applyFill="1" applyBorder="1" applyAlignment="1" applyProtection="0">
      <alignment horizontal="center" vertical="center" wrapText="1"/>
    </xf>
    <xf numFmtId="49" fontId="24" fillId="14" borderId="34" applyNumberFormat="1" applyFont="1" applyFill="1" applyBorder="1" applyAlignment="1" applyProtection="0">
      <alignment horizontal="center" vertical="center" wrapText="1"/>
    </xf>
    <xf numFmtId="49" fontId="24" fillId="14" borderId="35" applyNumberFormat="1" applyFont="1" applyFill="1" applyBorder="1" applyAlignment="1" applyProtection="0">
      <alignment horizontal="center" vertical="center" wrapText="1"/>
    </xf>
    <xf numFmtId="49" fontId="29" fillId="14" borderId="30" applyNumberFormat="1" applyFont="1" applyFill="1" applyBorder="1" applyAlignment="1" applyProtection="0">
      <alignment horizontal="center" vertical="center" wrapText="1"/>
    </xf>
    <xf numFmtId="0" fontId="29" fillId="14" borderId="31" applyNumberFormat="0" applyFont="1" applyFill="1" applyBorder="1" applyAlignment="1" applyProtection="0">
      <alignment horizontal="center" vertical="center" wrapText="1"/>
    </xf>
    <xf numFmtId="49" fontId="29" fillId="14" borderId="32" applyNumberFormat="1" applyFont="1" applyFill="1" applyBorder="1" applyAlignment="1" applyProtection="0">
      <alignment horizontal="center" vertical="center" wrapText="1"/>
    </xf>
    <xf numFmtId="49" fontId="29" fillId="14" borderId="31" applyNumberFormat="1" applyFont="1" applyFill="1" applyBorder="1" applyAlignment="1" applyProtection="0">
      <alignment horizontal="center" vertical="center" wrapText="1"/>
    </xf>
    <xf numFmtId="0" fontId="29" fillId="14" borderId="46" applyNumberFormat="0" applyFont="1" applyFill="1" applyBorder="1" applyAlignment="1" applyProtection="0">
      <alignment horizontal="center" vertical="center" wrapText="1"/>
    </xf>
    <xf numFmtId="0" fontId="24" fillId="10" borderId="45" applyNumberFormat="1" applyFont="1" applyFill="1" applyBorder="1" applyAlignment="1" applyProtection="0">
      <alignment horizontal="center" vertical="center" wrapText="1"/>
    </xf>
    <xf numFmtId="49" fontId="0" fillId="5" borderId="52" applyNumberFormat="1" applyFont="1" applyFill="1" applyBorder="1" applyAlignment="1" applyProtection="0">
      <alignment horizontal="center" vertical="center"/>
    </xf>
    <xf numFmtId="49" fontId="0" fillId="5" borderId="57" applyNumberFormat="1" applyFont="1" applyFill="1" applyBorder="1" applyAlignment="1" applyProtection="0">
      <alignment horizontal="center" vertical="center" wrapText="1"/>
    </xf>
    <xf numFmtId="0" fontId="0" fillId="5" borderId="53" applyNumberFormat="0" applyFont="1" applyFill="1" applyBorder="1" applyAlignment="1" applyProtection="0">
      <alignment horizontal="center" vertical="center" wrapText="1"/>
    </xf>
    <xf numFmtId="49" fontId="0" fillId="5" borderId="85" applyNumberFormat="1" applyFont="1" applyFill="1" applyBorder="1" applyAlignment="1" applyProtection="0">
      <alignment horizontal="center" vertical="center" wrapText="1"/>
    </xf>
    <xf numFmtId="0" fontId="0" fillId="5" borderId="86" applyNumberFormat="0" applyFont="1" applyFill="1" applyBorder="1" applyAlignment="1" applyProtection="0">
      <alignment horizontal="center" vertical="center" wrapText="1"/>
    </xf>
    <xf numFmtId="0" fontId="0" fillId="5" borderId="87" applyNumberFormat="0" applyFont="1" applyFill="1" applyBorder="1" applyAlignment="1" applyProtection="0">
      <alignment horizontal="center" vertical="center" wrapText="1"/>
    </xf>
    <xf numFmtId="2" fontId="0" fillId="5" borderId="52" applyNumberFormat="1" applyFont="1" applyFill="1" applyBorder="1" applyAlignment="1" applyProtection="0">
      <alignment horizontal="center" vertical="center" wrapText="1"/>
    </xf>
    <xf numFmtId="2" fontId="0" fillId="5" borderId="57" applyNumberFormat="1" applyFont="1" applyFill="1" applyBorder="1" applyAlignment="1" applyProtection="0">
      <alignment horizontal="center" vertical="center" wrapText="1"/>
    </xf>
    <xf numFmtId="2" fontId="0" fillId="8" borderId="57" applyNumberFormat="1" applyFont="1" applyFill="1" applyBorder="1" applyAlignment="1" applyProtection="0">
      <alignment horizontal="center" vertical="center" wrapText="1"/>
    </xf>
    <xf numFmtId="61" fontId="0" fillId="8" borderId="57" applyNumberFormat="1" applyFont="1" applyFill="1" applyBorder="1" applyAlignment="1" applyProtection="0">
      <alignment horizontal="center" vertical="center" wrapText="1"/>
    </xf>
    <xf numFmtId="0" fontId="0" fillId="5" borderId="57" applyNumberFormat="0" applyFont="1" applyFill="1" applyBorder="1" applyAlignment="1" applyProtection="0">
      <alignment horizontal="left" vertical="top" wrapText="1"/>
    </xf>
    <xf numFmtId="0" fontId="0" fillId="5" borderId="53" applyNumberFormat="0" applyFont="1" applyFill="1" applyBorder="1" applyAlignment="1" applyProtection="0">
      <alignment horizontal="left" vertical="top" wrapText="1"/>
    </xf>
    <xf numFmtId="49" fontId="0" fillId="19" borderId="30" applyNumberFormat="1" applyFont="1" applyFill="1" applyBorder="1" applyAlignment="1" applyProtection="0">
      <alignment horizontal="center" vertical="center" wrapText="1"/>
    </xf>
    <xf numFmtId="0" fontId="0" fillId="19" borderId="31" applyNumberFormat="0" applyFont="1" applyFill="1" applyBorder="1" applyAlignment="1" applyProtection="0">
      <alignment horizontal="center" vertical="center" wrapText="1"/>
    </xf>
    <xf numFmtId="0" fontId="0" fillId="19" borderId="32" applyNumberFormat="1" applyFont="1" applyFill="1" applyBorder="1" applyAlignment="1" applyProtection="0">
      <alignment horizontal="center" vertical="center" wrapText="1"/>
    </xf>
    <xf numFmtId="0" fontId="0" fillId="4" borderId="12" applyNumberFormat="0" applyFont="1" applyFill="1" applyBorder="1" applyAlignment="1" applyProtection="0">
      <alignment horizontal="center" vertical="center" wrapText="1"/>
    </xf>
    <xf numFmtId="0" fontId="0" fillId="4" borderId="4" applyNumberFormat="0" applyFont="1" applyFill="1" applyBorder="1" applyAlignment="1" applyProtection="0">
      <alignment horizontal="center" vertical="center" wrapText="1"/>
    </xf>
    <xf numFmtId="0" fontId="0" fillId="4" borderId="75" applyNumberFormat="0" applyFont="1" applyFill="1" applyBorder="1" applyAlignment="1" applyProtection="0">
      <alignment horizontal="center" vertical="center" wrapText="1"/>
    </xf>
    <xf numFmtId="49" fontId="0" fillId="19" borderId="31" applyNumberFormat="1" applyFont="1" applyFill="1" applyBorder="1" applyAlignment="1" applyProtection="0">
      <alignment horizontal="center" vertical="center" wrapText="1"/>
    </xf>
    <xf numFmtId="60" fontId="0" fillId="19" borderId="30" applyNumberFormat="1" applyFont="1" applyFill="1" applyBorder="1" applyAlignment="1" applyProtection="0">
      <alignment horizontal="center" vertical="center" wrapText="1"/>
    </xf>
    <xf numFmtId="60" fontId="0" fillId="19" borderId="31" applyNumberFormat="1" applyFont="1" applyFill="1" applyBorder="1" applyAlignment="1" applyProtection="0">
      <alignment horizontal="center" vertical="center" wrapText="1"/>
    </xf>
    <xf numFmtId="2" fontId="0" fillId="19" borderId="32" applyNumberFormat="1" applyFont="1" applyFill="1" applyBorder="1" applyAlignment="1" applyProtection="0">
      <alignment horizontal="center" vertical="center" wrapText="1"/>
    </xf>
    <xf numFmtId="49" fontId="0" fillId="19" borderId="46" applyNumberFormat="1" applyFont="1" applyFill="1" applyBorder="1" applyAlignment="1" applyProtection="0">
      <alignment horizontal="center" vertical="center" wrapText="1"/>
    </xf>
    <xf numFmtId="0" fontId="24" fillId="10" borderId="46" applyNumberFormat="1" applyFont="1" applyFill="1" applyBorder="1" applyAlignment="1" applyProtection="0">
      <alignment horizontal="center" vertical="center" wrapText="1"/>
    </xf>
    <xf numFmtId="49" fontId="0" fillId="5" borderId="30" applyNumberFormat="1" applyFont="1" applyFill="1" applyBorder="1" applyAlignment="1" applyProtection="0">
      <alignment horizontal="center" vertical="center"/>
    </xf>
    <xf numFmtId="49" fontId="0" fillId="5" borderId="58" applyNumberFormat="1" applyFont="1" applyFill="1" applyBorder="1" applyAlignment="1" applyProtection="0">
      <alignment horizontal="center" vertical="center" wrapText="1"/>
    </xf>
    <xf numFmtId="0" fontId="0" fillId="5" borderId="59" applyNumberFormat="0" applyFont="1" applyFill="1" applyBorder="1" applyAlignment="1" applyProtection="0">
      <alignment horizontal="center" vertical="center" wrapText="1"/>
    </xf>
    <xf numFmtId="49" fontId="0" fillId="5" borderId="88" applyNumberFormat="1" applyFont="1" applyFill="1" applyBorder="1" applyAlignment="1" applyProtection="0">
      <alignment horizontal="center" vertical="center" wrapText="1"/>
    </xf>
    <xf numFmtId="0" fontId="0" fillId="5" borderId="89" applyNumberFormat="0" applyFont="1" applyFill="1" applyBorder="1" applyAlignment="1" applyProtection="0">
      <alignment horizontal="center" vertical="center" wrapText="1"/>
    </xf>
    <xf numFmtId="2" fontId="0" fillId="5" borderId="30" applyNumberFormat="1" applyFont="1" applyFill="1" applyBorder="1" applyAlignment="1" applyProtection="0">
      <alignment horizontal="center" vertical="center" wrapText="1"/>
    </xf>
    <xf numFmtId="2" fontId="0" fillId="5" borderId="31" applyNumberFormat="1" applyFont="1" applyFill="1" applyBorder="1" applyAlignment="1" applyProtection="0">
      <alignment horizontal="center" vertical="center" wrapText="1"/>
    </xf>
    <xf numFmtId="2" fontId="0" fillId="8" borderId="31" applyNumberFormat="1" applyFont="1" applyFill="1" applyBorder="1" applyAlignment="1" applyProtection="0">
      <alignment horizontal="center" vertical="center" wrapText="1"/>
    </xf>
    <xf numFmtId="61" fontId="0" fillId="8" borderId="31" applyNumberFormat="1" applyFont="1" applyFill="1" applyBorder="1" applyAlignment="1" applyProtection="0">
      <alignment horizontal="center" vertical="center" wrapText="1"/>
    </xf>
    <xf numFmtId="49" fontId="0" fillId="5" borderId="31" applyNumberFormat="1" applyFont="1" applyFill="1" applyBorder="1" applyAlignment="1" applyProtection="0">
      <alignment horizontal="left" vertical="top" wrapText="1"/>
    </xf>
    <xf numFmtId="0" fontId="0" fillId="5" borderId="32" applyNumberFormat="0" applyFont="1" applyFill="1" applyBorder="1" applyAlignment="1" applyProtection="0">
      <alignment horizontal="left" vertical="top" wrapText="1"/>
    </xf>
    <xf numFmtId="0" fontId="0" fillId="5" borderId="30" applyNumberFormat="0" applyFont="1" applyFill="1" applyBorder="1" applyAlignment="1" applyProtection="0">
      <alignment horizontal="center" vertical="center"/>
    </xf>
    <xf numFmtId="0" fontId="0" fillId="5" borderId="58" applyNumberFormat="0" applyFont="1" applyFill="1" applyBorder="1" applyAlignment="1" applyProtection="0">
      <alignment horizontal="center" vertical="center" wrapText="1"/>
    </xf>
    <xf numFmtId="0" fontId="0" fillId="5" borderId="88" applyNumberFormat="0" applyFont="1" applyFill="1" applyBorder="1" applyAlignment="1" applyProtection="0">
      <alignment horizontal="center" vertical="center" wrapText="1"/>
    </xf>
    <xf numFmtId="49" fontId="0" fillId="8" borderId="31" applyNumberFormat="1" applyFont="1" applyFill="1" applyBorder="1" applyAlignment="1" applyProtection="0">
      <alignment horizontal="center" vertical="center" wrapText="1"/>
    </xf>
    <xf numFmtId="0" fontId="0" fillId="5" borderId="31" applyNumberFormat="0" applyFont="1" applyFill="1" applyBorder="1" applyAlignment="1" applyProtection="0">
      <alignment horizontal="left" vertical="top" wrapText="1"/>
    </xf>
    <xf numFmtId="49" fontId="0" fillId="19" borderId="32" applyNumberFormat="1" applyFont="1" applyFill="1" applyBorder="1" applyAlignment="1" applyProtection="0">
      <alignment horizontal="center" vertical="center" wrapText="1"/>
    </xf>
    <xf numFmtId="0" fontId="0" fillId="5" borderId="31" applyNumberFormat="0" applyFont="1" applyFill="1" applyBorder="1" applyAlignment="1" applyProtection="0">
      <alignment horizontal="center" vertical="center" wrapText="1"/>
    </xf>
    <xf numFmtId="0" fontId="0" fillId="5" borderId="32" applyNumberFormat="0" applyFont="1" applyFill="1" applyBorder="1" applyAlignment="1" applyProtection="0">
      <alignment horizontal="center" vertical="center" wrapText="1"/>
    </xf>
    <xf numFmtId="0" fontId="0" fillId="5" borderId="33" applyNumberFormat="0" applyFont="1" applyFill="1" applyBorder="1" applyAlignment="1" applyProtection="0">
      <alignment horizontal="center" vertical="center"/>
    </xf>
    <xf numFmtId="0" fontId="0" fillId="5" borderId="60" applyNumberFormat="0" applyFont="1" applyFill="1" applyBorder="1" applyAlignment="1" applyProtection="0">
      <alignment horizontal="center" vertical="center" wrapText="1"/>
    </xf>
    <xf numFmtId="0" fontId="0" fillId="5" borderId="61" applyNumberFormat="0" applyFont="1" applyFill="1" applyBorder="1" applyAlignment="1" applyProtection="0">
      <alignment horizontal="center" vertical="center" wrapText="1"/>
    </xf>
    <xf numFmtId="0" fontId="0" fillId="5" borderId="90" applyNumberFormat="0" applyFont="1" applyFill="1" applyBorder="1" applyAlignment="1" applyProtection="0">
      <alignment horizontal="center" vertical="center" wrapText="1"/>
    </xf>
    <xf numFmtId="0" fontId="0" fillId="5" borderId="91" applyNumberFormat="0" applyFont="1" applyFill="1" applyBorder="1" applyAlignment="1" applyProtection="0">
      <alignment horizontal="center" vertical="center" wrapText="1"/>
    </xf>
    <xf numFmtId="2" fontId="0" fillId="5" borderId="33" applyNumberFormat="1" applyFont="1" applyFill="1" applyBorder="1" applyAlignment="1" applyProtection="0">
      <alignment horizontal="center" vertical="center" wrapText="1"/>
    </xf>
    <xf numFmtId="2" fontId="0" fillId="5" borderId="34" applyNumberFormat="1" applyFont="1" applyFill="1" applyBorder="1" applyAlignment="1" applyProtection="0">
      <alignment horizontal="center" vertical="center" wrapText="1"/>
    </xf>
    <xf numFmtId="49" fontId="0" fillId="8" borderId="34" applyNumberFormat="1" applyFont="1" applyFill="1" applyBorder="1" applyAlignment="1" applyProtection="0">
      <alignment horizontal="center" vertical="center" wrapText="1"/>
    </xf>
    <xf numFmtId="49" fontId="24" fillId="10" borderId="49" applyNumberFormat="1" applyFont="1" applyFill="1" applyBorder="1" applyAlignment="1" applyProtection="0">
      <alignment horizontal="center" vertical="center" wrapText="1"/>
    </xf>
    <xf numFmtId="49" fontId="0" fillId="15" borderId="65" applyNumberFormat="1" applyFont="1" applyFill="1" applyBorder="1" applyAlignment="1" applyProtection="0">
      <alignment horizontal="center" vertical="center" wrapText="1"/>
    </xf>
    <xf numFmtId="49" fontId="0" fillId="15" borderId="92" applyNumberFormat="1" applyFont="1" applyFill="1" applyBorder="1" applyAlignment="1" applyProtection="0">
      <alignment horizontal="center" vertical="center"/>
    </xf>
    <xf numFmtId="0" fontId="0" fillId="15" borderId="93" applyNumberFormat="0" applyFont="1" applyFill="1" applyBorder="1" applyAlignment="1" applyProtection="0">
      <alignment horizontal="center" vertical="center"/>
    </xf>
    <xf numFmtId="49" fontId="0" fillId="15" borderId="39" applyNumberFormat="1" applyFont="1" applyFill="1" applyBorder="1" applyAlignment="1" applyProtection="0">
      <alignment horizontal="center" vertical="center" wrapText="1"/>
    </xf>
    <xf numFmtId="0" fontId="0" fillId="15" borderId="50" applyNumberFormat="0" applyFont="1" applyFill="1" applyBorder="1" applyAlignment="1" applyProtection="0">
      <alignment horizontal="center" vertical="center" wrapText="1"/>
    </xf>
    <xf numFmtId="0" fontId="0" fillId="15" borderId="93" applyNumberFormat="0" applyFont="1" applyFill="1" applyBorder="1" applyAlignment="1" applyProtection="0">
      <alignment horizontal="center" vertical="center" wrapText="1"/>
    </xf>
    <xf numFmtId="2" fontId="0" fillId="15" borderId="65" applyNumberFormat="1" applyFont="1" applyFill="1" applyBorder="1" applyAlignment="1" applyProtection="0">
      <alignment horizontal="center" vertical="center" wrapText="1"/>
    </xf>
    <xf numFmtId="2" fontId="0" fillId="15" borderId="66" applyNumberFormat="1" applyFont="1" applyFill="1" applyBorder="1" applyAlignment="1" applyProtection="0">
      <alignment horizontal="center" vertical="center" wrapText="1"/>
    </xf>
    <xf numFmtId="2" fontId="0" fillId="13" borderId="41" applyNumberFormat="1" applyFont="1" applyFill="1" applyBorder="1" applyAlignment="1" applyProtection="0">
      <alignment horizontal="center" vertical="center" wrapText="1"/>
    </xf>
    <xf numFmtId="60" fontId="0" fillId="8" borderId="65" applyNumberFormat="1" applyFont="1" applyFill="1" applyBorder="1" applyAlignment="1" applyProtection="0">
      <alignment horizontal="center" vertical="center" wrapText="1"/>
    </xf>
    <xf numFmtId="2" fontId="0" fillId="8" borderId="66" applyNumberFormat="1" applyFont="1" applyFill="1" applyBorder="1" applyAlignment="1" applyProtection="0">
      <alignment horizontal="center" vertical="center" wrapText="1"/>
    </xf>
    <xf numFmtId="60" fontId="0" fillId="8" borderId="41" applyNumberFormat="1" applyFont="1" applyFill="1" applyBorder="1" applyAlignment="1" applyProtection="0">
      <alignment horizontal="center" vertical="center" wrapText="1"/>
    </xf>
    <xf numFmtId="0" fontId="0" fillId="5" borderId="33" applyNumberFormat="0" applyFont="1" applyFill="1" applyBorder="1" applyAlignment="1" applyProtection="0">
      <alignment horizontal="center" vertical="center" wrapText="1"/>
    </xf>
    <xf numFmtId="0" fontId="0" fillId="5" borderId="35" applyNumberFormat="0" applyFont="1" applyFill="1" applyBorder="1" applyAlignment="1" applyProtection="0">
      <alignment horizontal="center" vertical="center" wrapText="1"/>
    </xf>
    <xf numFmtId="49" fontId="0" fillId="19" borderId="33" applyNumberFormat="1" applyFont="1" applyFill="1" applyBorder="1" applyAlignment="1" applyProtection="0">
      <alignment horizontal="center" vertical="center" wrapText="1"/>
    </xf>
    <xf numFmtId="0" fontId="0" fillId="19" borderId="34" applyNumberFormat="0" applyFont="1" applyFill="1" applyBorder="1" applyAlignment="1" applyProtection="0">
      <alignment horizontal="center" vertical="center" wrapText="1"/>
    </xf>
    <xf numFmtId="0" fontId="0" fillId="19" borderId="35" applyNumberFormat="1" applyFont="1" applyFill="1" applyBorder="1" applyAlignment="1" applyProtection="0">
      <alignment horizontal="center" vertical="center" wrapText="1"/>
    </xf>
    <xf numFmtId="49" fontId="0" fillId="19" borderId="34" applyNumberFormat="1" applyFont="1" applyFill="1" applyBorder="1" applyAlignment="1" applyProtection="0">
      <alignment horizontal="center" vertical="center" wrapText="1"/>
    </xf>
    <xf numFmtId="2" fontId="0" fillId="19" borderId="33" applyNumberFormat="1" applyFont="1" applyFill="1" applyBorder="1" applyAlignment="1" applyProtection="0">
      <alignment horizontal="center" vertical="center" wrapText="1"/>
    </xf>
    <xf numFmtId="2" fontId="0" fillId="19" borderId="34" applyNumberFormat="1" applyFont="1" applyFill="1" applyBorder="1" applyAlignment="1" applyProtection="0">
      <alignment horizontal="center" vertical="center" wrapText="1"/>
    </xf>
    <xf numFmtId="2" fontId="0" fillId="19" borderId="35" applyNumberFormat="1" applyFont="1" applyFill="1" applyBorder="1" applyAlignment="1" applyProtection="0">
      <alignment horizontal="center" vertical="center" wrapText="1"/>
    </xf>
    <xf numFmtId="49" fontId="0" fillId="19" borderId="49" applyNumberFormat="1" applyFont="1" applyFill="1" applyBorder="1" applyAlignment="1" applyProtection="0">
      <alignment horizontal="center" vertical="center" wrapText="1"/>
    </xf>
    <xf numFmtId="0" fontId="0" borderId="3" applyNumberFormat="0" applyFont="1" applyFill="0" applyBorder="1" applyAlignment="1" applyProtection="0">
      <alignment vertical="bottom"/>
    </xf>
    <xf numFmtId="0" fontId="0" borderId="10" applyNumberFormat="0" applyFont="1" applyFill="0" applyBorder="1" applyAlignment="1" applyProtection="0">
      <alignment vertical="bottom"/>
    </xf>
    <xf numFmtId="0" fontId="26" fillId="4" borderId="10" applyNumberFormat="0" applyFont="1" applyFill="1" applyBorder="1" applyAlignment="1" applyProtection="0">
      <alignment vertical="bottom" wrapText="1"/>
    </xf>
    <xf numFmtId="0" fontId="26" fillId="4" borderId="10" applyNumberFormat="0" applyFont="1" applyFill="1" applyBorder="1" applyAlignment="1" applyProtection="0">
      <alignment horizontal="center" vertical="bottom" wrapText="1"/>
    </xf>
    <xf numFmtId="0" fontId="26" fillId="4" borderId="11" applyNumberFormat="0" applyFont="1" applyFill="1" applyBorder="1" applyAlignment="1" applyProtection="0">
      <alignment horizontal="center" vertical="bottom" wrapText="1"/>
    </xf>
    <xf numFmtId="49" fontId="29" fillId="14" borderId="94" applyNumberFormat="1" applyFont="1" applyFill="1" applyBorder="1" applyAlignment="1" applyProtection="0">
      <alignment horizontal="center" vertical="center" wrapText="1"/>
    </xf>
    <xf numFmtId="2" fontId="0" fillId="8" borderId="65" applyNumberFormat="1" applyFont="1" applyFill="1" applyBorder="1" applyAlignment="1" applyProtection="0">
      <alignment horizontal="center" vertical="center" wrapText="1"/>
    </xf>
    <xf numFmtId="2" fontId="0" fillId="8" borderId="41" applyNumberFormat="1" applyFont="1" applyFill="1" applyBorder="1" applyAlignment="1" applyProtection="0">
      <alignment horizontal="center" vertical="center" wrapText="1"/>
    </xf>
    <xf numFmtId="0" fontId="0" borderId="82" applyNumberFormat="0" applyFont="1" applyFill="0" applyBorder="1" applyAlignment="1" applyProtection="0">
      <alignment vertical="bottom"/>
    </xf>
    <xf numFmtId="0" fontId="0" borderId="21" applyNumberFormat="0" applyFont="1" applyFill="0" applyBorder="1" applyAlignment="1" applyProtection="0">
      <alignment vertical="bottom"/>
    </xf>
    <xf numFmtId="0" fontId="26" fillId="4" borderId="4" applyNumberFormat="0" applyFont="1" applyFill="1" applyBorder="1" applyAlignment="1" applyProtection="0">
      <alignment vertical="bottom" wrapText="1"/>
    </xf>
    <xf numFmtId="0" fontId="26" fillId="4" borderId="4" applyNumberFormat="0" applyFont="1" applyFill="1" applyBorder="1" applyAlignment="1" applyProtection="0">
      <alignment horizontal="center" vertical="bottom" wrapText="1"/>
    </xf>
    <xf numFmtId="0" fontId="26" fillId="4" borderId="75" applyNumberFormat="0" applyFont="1" applyFill="1" applyBorder="1" applyAlignment="1" applyProtection="0">
      <alignment horizontal="center" vertical="bottom" wrapText="1"/>
    </xf>
    <xf numFmtId="49" fontId="29" fillId="10" borderId="52" applyNumberFormat="1" applyFont="1" applyFill="1" applyBorder="1" applyAlignment="1" applyProtection="0">
      <alignment horizontal="center" vertical="center" wrapText="1"/>
    </xf>
    <xf numFmtId="49" fontId="10" fillId="5" borderId="57" applyNumberFormat="1" applyFont="1" applyFill="1" applyBorder="1" applyAlignment="1" applyProtection="0">
      <alignment horizontal="center" vertical="bottom"/>
    </xf>
    <xf numFmtId="0" fontId="10" fillId="5" borderId="57" applyNumberFormat="0" applyFont="1" applyFill="1" applyBorder="1" applyAlignment="1" applyProtection="0">
      <alignment horizontal="center" vertical="bottom"/>
    </xf>
    <xf numFmtId="0" fontId="10" fillId="5" borderId="53" applyNumberFormat="0" applyFont="1" applyFill="1" applyBorder="1" applyAlignment="1" applyProtection="0">
      <alignment horizontal="center" vertical="bottom"/>
    </xf>
    <xf numFmtId="0" fontId="7" borderId="12" applyNumberFormat="1" applyFont="1" applyFill="0" applyBorder="1" applyAlignment="1" applyProtection="0">
      <alignment vertical="bottom"/>
    </xf>
    <xf numFmtId="49" fontId="29" fillId="10" borderId="30" applyNumberFormat="1" applyFont="1" applyFill="1" applyBorder="1" applyAlignment="1" applyProtection="0">
      <alignment horizontal="center" vertical="center" wrapText="1"/>
    </xf>
    <xf numFmtId="49" fontId="10" fillId="5" borderId="31" applyNumberFormat="1" applyFont="1" applyFill="1" applyBorder="1" applyAlignment="1" applyProtection="0">
      <alignment horizontal="center" vertical="bottom"/>
    </xf>
    <xf numFmtId="0" fontId="10" fillId="5" borderId="31" applyNumberFormat="0" applyFont="1" applyFill="1" applyBorder="1" applyAlignment="1" applyProtection="0">
      <alignment horizontal="center" vertical="bottom"/>
    </xf>
    <xf numFmtId="0" fontId="10" fillId="5" borderId="32" applyNumberFormat="0" applyFont="1" applyFill="1" applyBorder="1" applyAlignment="1" applyProtection="0">
      <alignment horizontal="center" vertical="bottom"/>
    </xf>
    <xf numFmtId="49" fontId="29" fillId="10" borderId="33" applyNumberFormat="1" applyFont="1" applyFill="1" applyBorder="1" applyAlignment="1" applyProtection="0">
      <alignment horizontal="center" vertical="center" wrapText="1"/>
    </xf>
    <xf numFmtId="49" fontId="10" fillId="5" borderId="34" applyNumberFormat="1" applyFont="1" applyFill="1" applyBorder="1" applyAlignment="1" applyProtection="0">
      <alignment horizontal="center" vertical="bottom"/>
    </xf>
    <xf numFmtId="0" fontId="10" fillId="5" borderId="34" applyNumberFormat="0" applyFont="1" applyFill="1" applyBorder="1" applyAlignment="1" applyProtection="0">
      <alignment horizontal="center" vertical="bottom"/>
    </xf>
    <xf numFmtId="0" fontId="10" fillId="5" borderId="35" applyNumberFormat="0" applyFont="1" applyFill="1" applyBorder="1" applyAlignment="1" applyProtection="0">
      <alignment horizontal="center" vertical="bottom"/>
    </xf>
    <xf numFmtId="49" fontId="25" fillId="17" borderId="4" applyNumberFormat="1" applyFont="1" applyFill="1" applyBorder="1" applyAlignment="1" applyProtection="0">
      <alignment horizontal="center" vertical="center"/>
    </xf>
    <xf numFmtId="49" fontId="16" borderId="4" applyNumberFormat="1" applyFont="1" applyFill="0" applyBorder="1" applyAlignment="1" applyProtection="0">
      <alignment vertical="bottom"/>
    </xf>
    <xf numFmtId="0" fontId="10" borderId="4" applyNumberFormat="0" applyFont="1" applyFill="0" applyBorder="1" applyAlignment="1" applyProtection="0">
      <alignment vertical="bottom"/>
    </xf>
    <xf numFmtId="0" fontId="26" borderId="10" applyNumberFormat="0" applyFont="1" applyFill="0" applyBorder="1" applyAlignment="1" applyProtection="0">
      <alignment vertical="bottom"/>
    </xf>
    <xf numFmtId="0" fontId="7" borderId="4" applyNumberFormat="1" applyFont="1" applyFill="0" applyBorder="1" applyAlignment="1" applyProtection="0">
      <alignment vertical="bottom"/>
    </xf>
    <xf numFmtId="0" fontId="0" borderId="5" applyNumberFormat="0" applyFont="1" applyFill="0" applyBorder="1" applyAlignment="1" applyProtection="0">
      <alignment vertical="bottom"/>
    </xf>
    <xf numFmtId="0" fontId="0" borderId="6" applyNumberFormat="0" applyFont="1" applyFill="0" applyBorder="1" applyAlignment="1" applyProtection="0">
      <alignment vertical="bottom"/>
    </xf>
    <xf numFmtId="0" fontId="0" borderId="12" applyNumberFormat="0" applyFont="1" applyFill="0" applyBorder="1" applyAlignment="1" applyProtection="0">
      <alignment vertical="bottom"/>
    </xf>
    <xf numFmtId="0" fontId="0" borderId="75" applyNumberFormat="0" applyFont="1" applyFill="0" applyBorder="1" applyAlignment="1" applyProtection="0">
      <alignment vertical="bottom"/>
    </xf>
    <xf numFmtId="0" fontId="24" fillId="14" borderId="33" applyNumberFormat="0" applyFont="1" applyFill="1" applyBorder="1" applyAlignment="1" applyProtection="0">
      <alignment horizontal="center" vertical="center" wrapText="1"/>
    </xf>
    <xf numFmtId="49" fontId="24" fillId="14" borderId="95" applyNumberFormat="1" applyFont="1" applyFill="1" applyBorder="1" applyAlignment="1" applyProtection="0">
      <alignment horizontal="center" vertical="center" wrapText="1"/>
    </xf>
    <xf numFmtId="0" fontId="24" fillId="14" borderId="48" applyNumberFormat="0" applyFont="1" applyFill="1" applyBorder="1" applyAlignment="1" applyProtection="0">
      <alignment horizontal="center" vertical="center" wrapText="1"/>
    </xf>
    <xf numFmtId="0" fontId="24" fillId="14" borderId="34" applyNumberFormat="0" applyFont="1" applyFill="1" applyBorder="1" applyAlignment="1" applyProtection="0">
      <alignment horizontal="center" vertical="center" wrapText="1"/>
    </xf>
    <xf numFmtId="0" fontId="24" fillId="14" borderId="35" applyNumberFormat="0" applyFont="1" applyFill="1" applyBorder="1" applyAlignment="1" applyProtection="0">
      <alignment horizontal="center" vertical="center" wrapText="1"/>
    </xf>
    <xf numFmtId="49" fontId="0" fillId="5" borderId="52" applyNumberFormat="1" applyFont="1" applyFill="1" applyBorder="1" applyAlignment="1" applyProtection="0">
      <alignment horizontal="center" vertical="center" wrapText="1"/>
    </xf>
    <xf numFmtId="49" fontId="0" fillId="5" borderId="53" applyNumberFormat="1" applyFont="1" applyFill="1" applyBorder="1" applyAlignment="1" applyProtection="0">
      <alignment horizontal="center" vertical="center" wrapText="1"/>
    </xf>
    <xf numFmtId="49" fontId="0" fillId="20" borderId="45" applyNumberFormat="1" applyFont="1" applyFill="1" applyBorder="1" applyAlignment="1" applyProtection="0">
      <alignment horizontal="center" vertical="center" wrapText="1"/>
    </xf>
    <xf numFmtId="49" fontId="0" fillId="21" borderId="43" applyNumberFormat="1" applyFont="1" applyFill="1" applyBorder="1" applyAlignment="1" applyProtection="0">
      <alignment horizontal="center" vertical="center"/>
    </xf>
    <xf numFmtId="0" fontId="0" fillId="21" borderId="44" applyNumberFormat="0" applyFont="1" applyFill="1" applyBorder="1" applyAlignment="1" applyProtection="0">
      <alignment horizontal="center" vertical="center"/>
    </xf>
    <xf numFmtId="49" fontId="0" fillId="5" borderId="45" applyNumberFormat="1" applyFont="1" applyFill="1" applyBorder="1" applyAlignment="1" applyProtection="0">
      <alignment horizontal="center" vertical="center" wrapText="1"/>
    </xf>
    <xf numFmtId="2" fontId="0" fillId="5" borderId="85" applyNumberFormat="1" applyFont="1" applyFill="1" applyBorder="1" applyAlignment="1" applyProtection="0">
      <alignment horizontal="center" vertical="center" wrapText="1"/>
    </xf>
    <xf numFmtId="2" fontId="0" fillId="5" borderId="86" applyNumberFormat="1" applyFont="1" applyFill="1" applyBorder="1" applyAlignment="1" applyProtection="0">
      <alignment horizontal="center" vertical="center" wrapText="1"/>
    </xf>
    <xf numFmtId="2" fontId="0" fillId="5" borderId="87" applyNumberFormat="1" applyFont="1" applyFill="1" applyBorder="1" applyAlignment="1" applyProtection="0">
      <alignment horizontal="center" vertical="center" wrapText="1"/>
    </xf>
    <xf numFmtId="60" fontId="0" fillId="8" borderId="52" applyNumberFormat="1" applyFont="1" applyFill="1" applyBorder="1" applyAlignment="1" applyProtection="0">
      <alignment horizontal="center" vertical="center" wrapText="1"/>
    </xf>
    <xf numFmtId="60" fontId="0" fillId="8" borderId="57" applyNumberFormat="1" applyFont="1" applyFill="1" applyBorder="1" applyAlignment="1" applyProtection="0">
      <alignment horizontal="center" vertical="center" wrapText="1"/>
    </xf>
    <xf numFmtId="60" fontId="0" fillId="8" borderId="53" applyNumberFormat="1" applyFont="1" applyFill="1" applyBorder="1" applyAlignment="1" applyProtection="0">
      <alignment horizontal="center" vertical="center" wrapText="1"/>
    </xf>
    <xf numFmtId="0" fontId="0" fillId="5" borderId="52" applyNumberFormat="0" applyFont="1" applyFill="1" applyBorder="1" applyAlignment="1" applyProtection="0">
      <alignment horizontal="center" vertical="center" wrapText="1"/>
    </xf>
    <xf numFmtId="1" fontId="0" borderId="12" applyNumberFormat="1" applyFont="1" applyFill="0" applyBorder="1" applyAlignment="1" applyProtection="0">
      <alignment vertical="bottom"/>
    </xf>
    <xf numFmtId="0" fontId="0" fillId="19" borderId="30" applyNumberFormat="1" applyFont="1" applyFill="1" applyBorder="1" applyAlignment="1" applyProtection="0">
      <alignment horizontal="center" vertical="center" wrapText="1"/>
    </xf>
    <xf numFmtId="61" fontId="0" fillId="19" borderId="32" applyNumberFormat="1" applyFont="1" applyFill="1" applyBorder="1" applyAlignment="1" applyProtection="0">
      <alignment horizontal="center" vertical="center" wrapText="1"/>
    </xf>
    <xf numFmtId="49" fontId="0" fillId="5" borderId="30" applyNumberFormat="1" applyFont="1" applyFill="1" applyBorder="1" applyAlignment="1" applyProtection="0">
      <alignment horizontal="center" vertical="center" wrapText="1"/>
    </xf>
    <xf numFmtId="49" fontId="0" fillId="5" borderId="32" applyNumberFormat="1" applyFont="1" applyFill="1" applyBorder="1" applyAlignment="1" applyProtection="0">
      <alignment horizontal="center" vertical="center" wrapText="1"/>
    </xf>
    <xf numFmtId="49" fontId="0" fillId="20" borderId="46" applyNumberFormat="1" applyFont="1" applyFill="1" applyBorder="1" applyAlignment="1" applyProtection="0">
      <alignment horizontal="center" vertical="center" wrapText="1"/>
    </xf>
    <xf numFmtId="49" fontId="0" fillId="21" borderId="25" applyNumberFormat="1" applyFont="1" applyFill="1" applyBorder="1" applyAlignment="1" applyProtection="0">
      <alignment horizontal="center" vertical="center"/>
    </xf>
    <xf numFmtId="0" fontId="0" fillId="21" borderId="29" applyNumberFormat="0" applyFont="1" applyFill="1" applyBorder="1" applyAlignment="1" applyProtection="0">
      <alignment horizontal="center" vertical="center"/>
    </xf>
    <xf numFmtId="49" fontId="0" fillId="5" borderId="46" applyNumberFormat="1" applyFont="1" applyFill="1" applyBorder="1" applyAlignment="1" applyProtection="0">
      <alignment horizontal="center" vertical="center" wrapText="1"/>
    </xf>
    <xf numFmtId="2" fontId="0" fillId="5" borderId="88" applyNumberFormat="1" applyFont="1" applyFill="1" applyBorder="1" applyAlignment="1" applyProtection="0">
      <alignment horizontal="center" vertical="center" wrapText="1"/>
    </xf>
    <xf numFmtId="2" fontId="0" fillId="5" borderId="89" applyNumberFormat="1" applyFont="1" applyFill="1" applyBorder="1" applyAlignment="1" applyProtection="0">
      <alignment horizontal="center" vertical="center" wrapText="1"/>
    </xf>
    <xf numFmtId="2" fontId="0" fillId="5" borderId="59" applyNumberFormat="1" applyFont="1" applyFill="1" applyBorder="1" applyAlignment="1" applyProtection="0">
      <alignment horizontal="center" vertical="center" wrapText="1"/>
    </xf>
    <xf numFmtId="60" fontId="0" fillId="8" borderId="30" applyNumberFormat="1" applyFont="1" applyFill="1" applyBorder="1" applyAlignment="1" applyProtection="0">
      <alignment horizontal="center" vertical="center" wrapText="1"/>
    </xf>
    <xf numFmtId="60" fontId="0" fillId="8" borderId="31" applyNumberFormat="1" applyFont="1" applyFill="1" applyBorder="1" applyAlignment="1" applyProtection="0">
      <alignment horizontal="center" vertical="center" wrapText="1"/>
    </xf>
    <xf numFmtId="60" fontId="0" fillId="8" borderId="32" applyNumberFormat="1" applyFont="1" applyFill="1" applyBorder="1" applyAlignment="1" applyProtection="0">
      <alignment horizontal="center" vertical="center" wrapText="1"/>
    </xf>
    <xf numFmtId="0" fontId="0" fillId="5" borderId="30" applyNumberFormat="0" applyFont="1" applyFill="1" applyBorder="1" applyAlignment="1" applyProtection="0">
      <alignment horizontal="center" vertical="center" wrapText="1"/>
    </xf>
    <xf numFmtId="0" fontId="0" fillId="21" borderId="25" applyNumberFormat="0" applyFont="1" applyFill="1" applyBorder="1" applyAlignment="1" applyProtection="0">
      <alignment horizontal="center" vertical="center"/>
    </xf>
    <xf numFmtId="0" fontId="0" fillId="5" borderId="46" applyNumberFormat="0" applyFont="1" applyFill="1" applyBorder="1" applyAlignment="1" applyProtection="0">
      <alignment horizontal="center" vertical="center" wrapText="1"/>
    </xf>
    <xf numFmtId="49" fontId="0" fillId="8" borderId="30" applyNumberFormat="1" applyFont="1" applyFill="1" applyBorder="1" applyAlignment="1" applyProtection="0">
      <alignment horizontal="center" vertical="center" wrapText="1"/>
    </xf>
    <xf numFmtId="0" fontId="24" fillId="10" borderId="49" applyNumberFormat="1" applyFont="1" applyFill="1" applyBorder="1" applyAlignment="1" applyProtection="0">
      <alignment horizontal="center" vertical="center" wrapText="1"/>
    </xf>
    <xf numFmtId="49" fontId="0" fillId="20" borderId="49" applyNumberFormat="1" applyFont="1" applyFill="1" applyBorder="1" applyAlignment="1" applyProtection="0">
      <alignment horizontal="center" vertical="center" wrapText="1"/>
    </xf>
    <xf numFmtId="0" fontId="0" fillId="21" borderId="47" applyNumberFormat="0" applyFont="1" applyFill="1" applyBorder="1" applyAlignment="1" applyProtection="0">
      <alignment horizontal="center" vertical="center"/>
    </xf>
    <xf numFmtId="0" fontId="0" fillId="21" borderId="48" applyNumberFormat="0" applyFont="1" applyFill="1" applyBorder="1" applyAlignment="1" applyProtection="0">
      <alignment horizontal="center" vertical="center"/>
    </xf>
    <xf numFmtId="0" fontId="0" fillId="5" borderId="49" applyNumberFormat="0" applyFont="1" applyFill="1" applyBorder="1" applyAlignment="1" applyProtection="0">
      <alignment horizontal="center" vertical="center" wrapText="1"/>
    </xf>
    <xf numFmtId="2" fontId="0" fillId="5" borderId="90" applyNumberFormat="1" applyFont="1" applyFill="1" applyBorder="1" applyAlignment="1" applyProtection="0">
      <alignment horizontal="center" vertical="center" wrapText="1"/>
    </xf>
    <xf numFmtId="2" fontId="0" fillId="5" borderId="91" applyNumberFormat="1" applyFont="1" applyFill="1" applyBorder="1" applyAlignment="1" applyProtection="0">
      <alignment horizontal="center" vertical="center" wrapText="1"/>
    </xf>
    <xf numFmtId="2" fontId="0" fillId="5" borderId="61" applyNumberFormat="1" applyFont="1" applyFill="1" applyBorder="1" applyAlignment="1" applyProtection="0">
      <alignment horizontal="center" vertical="center" wrapText="1"/>
    </xf>
    <xf numFmtId="49" fontId="0" fillId="8" borderId="33" applyNumberFormat="1" applyFont="1" applyFill="1" applyBorder="1" applyAlignment="1" applyProtection="0">
      <alignment horizontal="center" vertical="center" wrapText="1"/>
    </xf>
    <xf numFmtId="60" fontId="0" fillId="8" borderId="34" applyNumberFormat="1" applyFont="1" applyFill="1" applyBorder="1" applyAlignment="1" applyProtection="0">
      <alignment horizontal="center" vertical="center" wrapText="1"/>
    </xf>
    <xf numFmtId="60" fontId="0" fillId="8" borderId="35" applyNumberFormat="1" applyFont="1" applyFill="1" applyBorder="1" applyAlignment="1" applyProtection="0">
      <alignment horizontal="center" vertical="center" wrapText="1"/>
    </xf>
    <xf numFmtId="49" fontId="24" fillId="10" borderId="94" applyNumberFormat="1" applyFont="1" applyFill="1" applyBorder="1" applyAlignment="1" applyProtection="0">
      <alignment horizontal="center" vertical="center" wrapText="1"/>
    </xf>
    <xf numFmtId="49" fontId="0" fillId="15" borderId="41" applyNumberFormat="1" applyFont="1" applyFill="1" applyBorder="1" applyAlignment="1" applyProtection="0">
      <alignment horizontal="center" vertical="center"/>
    </xf>
    <xf numFmtId="49" fontId="0" fillId="15" borderId="94" applyNumberFormat="1" applyFont="1" applyFill="1" applyBorder="1" applyAlignment="1" applyProtection="0">
      <alignment horizontal="center" vertical="center"/>
    </xf>
    <xf numFmtId="49" fontId="0" fillId="15" borderId="39" applyNumberFormat="1" applyFont="1" applyFill="1" applyBorder="1" applyAlignment="1" applyProtection="0">
      <alignment horizontal="center" vertical="center"/>
    </xf>
    <xf numFmtId="49" fontId="0" fillId="15" borderId="94" applyNumberFormat="1" applyFont="1" applyFill="1" applyBorder="1" applyAlignment="1" applyProtection="0">
      <alignment horizontal="center" vertical="center" wrapText="1"/>
    </xf>
    <xf numFmtId="2" fontId="0" fillId="15" borderId="39" applyNumberFormat="1" applyFont="1" applyFill="1" applyBorder="1" applyAlignment="1" applyProtection="0">
      <alignment horizontal="center" vertical="center" wrapText="1"/>
    </xf>
    <xf numFmtId="2" fontId="0" fillId="15" borderId="50" applyNumberFormat="1" applyFont="1" applyFill="1" applyBorder="1" applyAlignment="1" applyProtection="0">
      <alignment horizontal="center" vertical="center" wrapText="1"/>
    </xf>
    <xf numFmtId="2" fontId="0" fillId="15" borderId="93" applyNumberFormat="1" applyFont="1" applyFill="1" applyBorder="1" applyAlignment="1" applyProtection="0">
      <alignment horizontal="center" vertical="center" wrapText="1"/>
    </xf>
    <xf numFmtId="60" fontId="0" fillId="8" borderId="66" applyNumberFormat="1" applyFont="1" applyFill="1" applyBorder="1" applyAlignment="1" applyProtection="0">
      <alignment horizontal="center" vertical="center" wrapText="1"/>
    </xf>
    <xf numFmtId="0" fontId="0" fillId="5" borderId="65" applyNumberFormat="0" applyFont="1" applyFill="1" applyBorder="1" applyAlignment="1" applyProtection="0">
      <alignment horizontal="center" vertical="center" wrapText="1"/>
    </xf>
    <xf numFmtId="0" fontId="0" fillId="5" borderId="41" applyNumberFormat="0" applyFont="1" applyFill="1" applyBorder="1" applyAlignment="1" applyProtection="0">
      <alignment horizontal="center" vertical="center" wrapText="1"/>
    </xf>
    <xf numFmtId="0" fontId="0" fillId="19" borderId="33" applyNumberFormat="1" applyFont="1" applyFill="1" applyBorder="1" applyAlignment="1" applyProtection="0">
      <alignment horizontal="center" vertical="center" wrapText="1"/>
    </xf>
    <xf numFmtId="61" fontId="0" fillId="19" borderId="35" applyNumberFormat="1" applyFont="1" applyFill="1" applyBorder="1" applyAlignment="1" applyProtection="0">
      <alignment horizontal="center" vertical="center" wrapText="1"/>
    </xf>
    <xf numFmtId="0" fontId="0" borderId="11" applyNumberFormat="0" applyFont="1" applyFill="0" applyBorder="1" applyAlignment="1" applyProtection="0">
      <alignment vertical="bottom"/>
    </xf>
    <xf numFmtId="49" fontId="29" fillId="14" borderId="51" applyNumberFormat="1" applyFont="1" applyFill="1" applyBorder="1" applyAlignment="1" applyProtection="0">
      <alignment horizontal="center" vertical="center" wrapText="1"/>
    </xf>
    <xf numFmtId="2" fontId="0" fillId="8" borderId="39" applyNumberFormat="1" applyFont="1" applyFill="1" applyBorder="1" applyAlignment="1" applyProtection="0">
      <alignment horizontal="center" vertical="center" wrapText="1"/>
    </xf>
    <xf numFmtId="2" fontId="0" fillId="8" borderId="50" applyNumberFormat="1" applyFont="1" applyFill="1" applyBorder="1" applyAlignment="1" applyProtection="0">
      <alignment horizontal="center" vertical="center" wrapText="1"/>
    </xf>
    <xf numFmtId="2" fontId="0" fillId="8" borderId="93" applyNumberFormat="1" applyFont="1" applyFill="1" applyBorder="1" applyAlignment="1" applyProtection="0">
      <alignment horizontal="center" vertical="center" wrapText="1"/>
    </xf>
    <xf numFmtId="60" fontId="0" fillId="8" borderId="39" applyNumberFormat="1" applyFont="1" applyFill="1" applyBorder="1" applyAlignment="1" applyProtection="0">
      <alignment horizontal="center" vertical="center" wrapText="1"/>
    </xf>
    <xf numFmtId="60" fontId="0" fillId="8" borderId="50" applyNumberFormat="1" applyFont="1" applyFill="1" applyBorder="1" applyAlignment="1" applyProtection="0">
      <alignment horizontal="center" vertical="center" wrapText="1"/>
    </xf>
    <xf numFmtId="60" fontId="0" fillId="8" borderId="93" applyNumberFormat="1" applyFont="1" applyFill="1" applyBorder="1" applyAlignment="1" applyProtection="0">
      <alignment horizontal="center" vertical="center" wrapText="1"/>
    </xf>
    <xf numFmtId="49" fontId="29" fillId="10" borderId="55" applyNumberFormat="1" applyFont="1" applyFill="1" applyBorder="1" applyAlignment="1" applyProtection="0">
      <alignment horizontal="center" vertical="center" wrapText="1"/>
    </xf>
    <xf numFmtId="49" fontId="10" fillId="5" borderId="96" applyNumberFormat="1" applyFont="1" applyFill="1" applyBorder="1" applyAlignment="1" applyProtection="0">
      <alignment horizontal="center" vertical="bottom"/>
    </xf>
    <xf numFmtId="0" fontId="10" fillId="5" borderId="97" applyNumberFormat="0" applyFont="1" applyFill="1" applyBorder="1" applyAlignment="1" applyProtection="0">
      <alignment horizontal="center" vertical="bottom"/>
    </xf>
    <xf numFmtId="0" fontId="10" fillId="5" borderId="98" applyNumberFormat="0" applyFont="1" applyFill="1" applyBorder="1" applyAlignment="1" applyProtection="0">
      <alignment horizontal="center" vertical="bottom"/>
    </xf>
    <xf numFmtId="0" fontId="0" borderId="16" applyNumberFormat="0" applyFont="1" applyFill="0" applyBorder="1" applyAlignment="1" applyProtection="0">
      <alignment vertical="bottom"/>
    </xf>
    <xf numFmtId="2" fontId="30" borderId="10" applyNumberFormat="1" applyFont="1" applyFill="0" applyBorder="1" applyAlignment="1" applyProtection="0">
      <alignment vertical="bottom"/>
    </xf>
    <xf numFmtId="0" fontId="0" borderId="99" applyNumberFormat="0" applyFont="1" applyFill="0" applyBorder="1" applyAlignment="1" applyProtection="0">
      <alignment vertical="bottom"/>
    </xf>
    <xf numFmtId="49" fontId="29" fillId="14" borderId="31" applyNumberFormat="1" applyFont="1" applyFill="1" applyBorder="1" applyAlignment="1" applyProtection="0">
      <alignment horizontal="center" vertical="center"/>
    </xf>
    <xf numFmtId="0" fontId="0" borderId="100" applyNumberFormat="0" applyFont="1" applyFill="0" applyBorder="1" applyAlignment="1" applyProtection="0">
      <alignment vertical="bottom"/>
    </xf>
    <xf numFmtId="0" fontId="26" borderId="4" applyNumberFormat="0" applyFont="1" applyFill="0" applyBorder="1" applyAlignment="1" applyProtection="0">
      <alignment vertical="bottom"/>
    </xf>
    <xf numFmtId="0" fontId="0" borderId="101" applyNumberFormat="0" applyFont="1" applyFill="0" applyBorder="1" applyAlignment="1" applyProtection="0">
      <alignment vertical="bottom"/>
    </xf>
    <xf numFmtId="49" fontId="24" fillId="14" borderId="51" applyNumberFormat="1" applyFont="1" applyFill="1" applyBorder="1" applyAlignment="1" applyProtection="0">
      <alignment horizontal="center" vertical="center" wrapText="1"/>
    </xf>
    <xf numFmtId="49" fontId="29" fillId="14" borderId="82" applyNumberFormat="1" applyFont="1" applyFill="1" applyBorder="1" applyAlignment="1" applyProtection="0">
      <alignment horizontal="center" vertical="center" wrapText="1"/>
    </xf>
    <xf numFmtId="0" fontId="29" fillId="14" borderId="11" applyNumberFormat="0" applyFont="1" applyFill="1" applyBorder="1" applyAlignment="1" applyProtection="0">
      <alignment horizontal="center" vertical="center" wrapText="1"/>
    </xf>
    <xf numFmtId="49" fontId="29" fillId="14" borderId="57" applyNumberFormat="1" applyFont="1" applyFill="1" applyBorder="1" applyAlignment="1" applyProtection="0">
      <alignment horizontal="center" vertical="center" wrapText="1"/>
    </xf>
    <xf numFmtId="49" fontId="29" fillId="14" borderId="43" applyNumberFormat="1" applyFont="1" applyFill="1" applyBorder="1" applyAlignment="1" applyProtection="0">
      <alignment horizontal="center" vertical="center" wrapText="1"/>
    </xf>
    <xf numFmtId="0" fontId="29" fillId="14" borderId="44" applyNumberFormat="0" applyFont="1" applyFill="1" applyBorder="1" applyAlignment="1" applyProtection="0">
      <alignment horizontal="center" vertical="center" wrapText="1"/>
    </xf>
    <xf numFmtId="49" fontId="29" fillId="14" borderId="39" applyNumberFormat="1" applyFont="1" applyFill="1" applyBorder="1" applyAlignment="1" applyProtection="0">
      <alignment horizontal="center" vertical="center"/>
    </xf>
    <xf numFmtId="0" fontId="29" fillId="14" borderId="50" applyNumberFormat="0" applyFont="1" applyFill="1" applyBorder="1" applyAlignment="1" applyProtection="0">
      <alignment horizontal="center" vertical="center"/>
    </xf>
    <xf numFmtId="0" fontId="29" fillId="14" borderId="93" applyNumberFormat="0" applyFont="1" applyFill="1" applyBorder="1" applyAlignment="1" applyProtection="0">
      <alignment horizontal="center" vertical="center"/>
    </xf>
    <xf numFmtId="0" fontId="0" fillId="9" borderId="45" applyNumberFormat="0" applyFont="1" applyFill="1" applyBorder="1" applyAlignment="1" applyProtection="0">
      <alignment vertical="bottom"/>
    </xf>
    <xf numFmtId="0" fontId="0" borderId="54" applyNumberFormat="0" applyFont="1" applyFill="0" applyBorder="1" applyAlignment="1" applyProtection="0">
      <alignment vertical="bottom"/>
    </xf>
    <xf numFmtId="0" fontId="0" fillId="19" borderId="57" applyNumberFormat="1" applyFont="1" applyFill="1" applyBorder="1" applyAlignment="1" applyProtection="0">
      <alignment horizontal="center" vertical="center"/>
    </xf>
    <xf numFmtId="0" fontId="0" borderId="15" applyNumberFormat="0" applyFont="1" applyFill="0" applyBorder="1" applyAlignment="1" applyProtection="0">
      <alignment vertical="bottom"/>
    </xf>
    <xf numFmtId="0" fontId="24" fillId="14" borderId="55" applyNumberFormat="0" applyFont="1" applyFill="1" applyBorder="1" applyAlignment="1" applyProtection="0">
      <alignment horizontal="center" vertical="center" wrapText="1"/>
    </xf>
    <xf numFmtId="49" fontId="29" fillId="14" borderId="33" applyNumberFormat="1" applyFont="1" applyFill="1" applyBorder="1" applyAlignment="1" applyProtection="0">
      <alignment horizontal="center" vertical="center"/>
    </xf>
    <xf numFmtId="0" fontId="29" fillId="14" borderId="102" applyNumberFormat="0" applyFont="1" applyFill="1" applyBorder="1" applyAlignment="1" applyProtection="0">
      <alignment horizontal="center" vertical="center" wrapText="1"/>
    </xf>
    <xf numFmtId="0" fontId="29" fillId="14" borderId="23" applyNumberFormat="0" applyFont="1" applyFill="1" applyBorder="1" applyAlignment="1" applyProtection="0">
      <alignment horizontal="center" vertical="center" wrapText="1"/>
    </xf>
    <xf numFmtId="0" fontId="29" fillId="14" borderId="17" applyNumberFormat="0" applyFont="1" applyFill="1" applyBorder="1" applyAlignment="1" applyProtection="0">
      <alignment horizontal="center" vertical="center" wrapText="1"/>
    </xf>
    <xf numFmtId="0" fontId="29" fillId="14" borderId="33" applyNumberFormat="0" applyFont="1" applyFill="1" applyBorder="1" applyAlignment="1" applyProtection="0">
      <alignment horizontal="center" vertical="center" wrapText="1"/>
    </xf>
    <xf numFmtId="0" fontId="29" fillId="14" borderId="34" applyNumberFormat="0" applyFont="1" applyFill="1" applyBorder="1" applyAlignment="1" applyProtection="0">
      <alignment horizontal="center" vertical="center" wrapText="1"/>
    </xf>
    <xf numFmtId="0" fontId="29" fillId="14" borderId="35" applyNumberFormat="0" applyFont="1" applyFill="1" applyBorder="1" applyAlignment="1" applyProtection="0">
      <alignment horizontal="center" vertical="center" wrapText="1"/>
    </xf>
    <xf numFmtId="49" fontId="29" fillId="14" borderId="65" applyNumberFormat="1" applyFont="1" applyFill="1" applyBorder="1" applyAlignment="1" applyProtection="0">
      <alignment horizontal="center" vertical="center" wrapText="1"/>
    </xf>
    <xf numFmtId="49" fontId="29" fillId="14" borderId="41" applyNumberFormat="1" applyFont="1" applyFill="1" applyBorder="1" applyAlignment="1" applyProtection="0">
      <alignment horizontal="center" vertical="center" wrapText="1"/>
    </xf>
    <xf numFmtId="49" fontId="29" fillId="14" borderId="66" applyNumberFormat="1" applyFont="1" applyFill="1" applyBorder="1" applyAlignment="1" applyProtection="0">
      <alignment horizontal="center" vertical="center" wrapText="1"/>
    </xf>
    <xf numFmtId="0" fontId="29" fillId="4" borderId="57" applyNumberFormat="0" applyFont="1" applyFill="1" applyBorder="1" applyAlignment="1" applyProtection="0">
      <alignment horizontal="center" vertical="center" wrapText="1"/>
    </xf>
    <xf numFmtId="0" fontId="29" fillId="14" borderId="55" applyNumberFormat="0" applyFont="1" applyFill="1" applyBorder="1" applyAlignment="1" applyProtection="0">
      <alignment horizontal="center" vertical="center" wrapText="1"/>
    </xf>
    <xf numFmtId="49" fontId="29" fillId="14" borderId="92" applyNumberFormat="1" applyFont="1" applyFill="1" applyBorder="1" applyAlignment="1" applyProtection="0">
      <alignment horizontal="center" vertical="center" wrapText="1"/>
    </xf>
    <xf numFmtId="0" fontId="29" fillId="4" borderId="50" applyNumberFormat="0" applyFont="1" applyFill="1" applyBorder="1" applyAlignment="1" applyProtection="0">
      <alignment horizontal="center" vertical="center" wrapText="1"/>
    </xf>
    <xf numFmtId="49" fontId="29" fillId="14" borderId="40" applyNumberFormat="1" applyFont="1" applyFill="1" applyBorder="1" applyAlignment="1" applyProtection="0">
      <alignment horizontal="center" vertical="center" wrapText="1"/>
    </xf>
    <xf numFmtId="0" fontId="29" fillId="14" borderId="103" applyNumberFormat="0" applyFont="1" applyFill="1" applyBorder="1" applyAlignment="1" applyProtection="0">
      <alignment horizontal="center" vertical="center" wrapText="1"/>
    </xf>
    <xf numFmtId="49" fontId="24" fillId="14" borderId="65" applyNumberFormat="1" applyFont="1" applyFill="1" applyBorder="1" applyAlignment="1" applyProtection="0">
      <alignment horizontal="center" vertical="center" wrapText="1"/>
    </xf>
    <xf numFmtId="49" fontId="24" fillId="14" borderId="41" applyNumberFormat="1" applyFont="1" applyFill="1" applyBorder="1" applyAlignment="1" applyProtection="0">
      <alignment horizontal="center" vertical="center" wrapText="1"/>
    </xf>
    <xf numFmtId="49" fontId="24" fillId="9" borderId="49" applyNumberFormat="1" applyFont="1" applyFill="1" applyBorder="1" applyAlignment="1" applyProtection="0">
      <alignment horizontal="center" vertical="center" wrapText="1"/>
    </xf>
    <xf numFmtId="0" fontId="24" fillId="14" borderId="31" applyNumberFormat="1" applyFont="1" applyFill="1" applyBorder="1" applyAlignment="1" applyProtection="0">
      <alignment horizontal="center" vertical="center" wrapText="1"/>
    </xf>
    <xf numFmtId="49" fontId="24" fillId="14" borderId="31" applyNumberFormat="1" applyFont="1" applyFill="1" applyBorder="1" applyAlignment="1" applyProtection="0">
      <alignment horizontal="center" vertical="center" wrapText="1"/>
    </xf>
    <xf numFmtId="49" fontId="0" fillId="15" borderId="52" applyNumberFormat="1" applyFont="1" applyFill="1" applyBorder="1" applyAlignment="1" applyProtection="0">
      <alignment horizontal="center" vertical="center" wrapText="1"/>
    </xf>
    <xf numFmtId="49" fontId="0" fillId="15" borderId="53" applyNumberFormat="1" applyFont="1" applyFill="1" applyBorder="1" applyAlignment="1" applyProtection="0">
      <alignment horizontal="center" vertical="center" wrapText="1"/>
    </xf>
    <xf numFmtId="49" fontId="0" fillId="20" borderId="52" applyNumberFormat="1" applyFont="1" applyFill="1" applyBorder="1" applyAlignment="1" applyProtection="0">
      <alignment horizontal="center" vertical="center" wrapText="1"/>
    </xf>
    <xf numFmtId="0" fontId="0" fillId="5" borderId="57" applyNumberFormat="0" applyFont="1" applyFill="1" applyBorder="1" applyAlignment="1" applyProtection="0">
      <alignment horizontal="center" vertical="center" wrapText="1"/>
    </xf>
    <xf numFmtId="0" fontId="0" fillId="15" borderId="46" applyNumberFormat="0" applyFont="1" applyFill="1" applyBorder="1" applyAlignment="1" applyProtection="0">
      <alignment horizontal="center" vertical="center" wrapText="1"/>
    </xf>
    <xf numFmtId="49" fontId="0" fillId="15" borderId="46" applyNumberFormat="1" applyFont="1" applyFill="1" applyBorder="1" applyAlignment="1" applyProtection="0">
      <alignment horizontal="center" vertical="center"/>
    </xf>
    <xf numFmtId="49" fontId="0" fillId="15" borderId="30" applyNumberFormat="1" applyFont="1" applyFill="1" applyBorder="1" applyAlignment="1" applyProtection="0">
      <alignment horizontal="center" vertical="center"/>
    </xf>
    <xf numFmtId="0" fontId="0" fillId="15" borderId="32" applyNumberFormat="0" applyFont="1" applyFill="1" applyBorder="1" applyAlignment="1" applyProtection="0">
      <alignment horizontal="center" vertical="center"/>
    </xf>
    <xf numFmtId="49" fontId="0" fillId="8" borderId="52" applyNumberFormat="1" applyFont="1" applyFill="1" applyBorder="1" applyAlignment="1" applyProtection="0">
      <alignment horizontal="center" vertical="center" wrapText="1"/>
    </xf>
    <xf numFmtId="49" fontId="0" fillId="8" borderId="57" applyNumberFormat="1" applyFont="1" applyFill="1" applyBorder="1" applyAlignment="1" applyProtection="0">
      <alignment horizontal="center" vertical="center" wrapText="1"/>
    </xf>
    <xf numFmtId="49" fontId="0" fillId="19" borderId="45" applyNumberFormat="1" applyFont="1" applyFill="1" applyBorder="1" applyAlignment="1" applyProtection="0">
      <alignment horizontal="center" vertical="center" wrapText="1"/>
    </xf>
    <xf numFmtId="49" fontId="0" fillId="19" borderId="52" applyNumberFormat="1" applyFont="1" applyFill="1" applyBorder="1" applyAlignment="1" applyProtection="0">
      <alignment horizontal="center" vertical="center" wrapText="1"/>
    </xf>
    <xf numFmtId="49" fontId="0" fillId="19" borderId="53" applyNumberFormat="1" applyFont="1" applyFill="1" applyBorder="1" applyAlignment="1" applyProtection="0">
      <alignment horizontal="center" vertical="center" wrapText="1"/>
    </xf>
    <xf numFmtId="0" fontId="0" fillId="4" borderId="30" applyNumberFormat="0" applyFont="1" applyFill="1" applyBorder="1" applyAlignment="1" applyProtection="0">
      <alignment horizontal="center" vertical="center" wrapText="1"/>
    </xf>
    <xf numFmtId="0" fontId="0" fillId="4" borderId="31" applyNumberFormat="0" applyFont="1" applyFill="1" applyBorder="1" applyAlignment="1" applyProtection="0">
      <alignment horizontal="center" vertical="center" wrapText="1"/>
    </xf>
    <xf numFmtId="0" fontId="0" fillId="4" borderId="32" applyNumberFormat="0" applyFont="1" applyFill="1" applyBorder="1" applyAlignment="1" applyProtection="0">
      <alignment horizontal="center" vertical="center" wrapText="1"/>
    </xf>
    <xf numFmtId="0" fontId="0" fillId="4" borderId="52" applyNumberFormat="0" applyFont="1" applyFill="1" applyBorder="1" applyAlignment="1" applyProtection="0">
      <alignment horizontal="center" vertical="center" wrapText="1"/>
    </xf>
    <xf numFmtId="0" fontId="0" fillId="4" borderId="57" applyNumberFormat="0" applyFont="1" applyFill="1" applyBorder="1" applyAlignment="1" applyProtection="0">
      <alignment horizontal="center" vertical="center" wrapText="1"/>
    </xf>
    <xf numFmtId="0" fontId="0" fillId="4" borderId="53" applyNumberFormat="0" applyFont="1" applyFill="1" applyBorder="1" applyAlignment="1" applyProtection="0">
      <alignment horizontal="center" vertical="center" wrapText="1"/>
    </xf>
    <xf numFmtId="49" fontId="0" fillId="19" borderId="57" applyNumberFormat="1" applyFont="1" applyFill="1" applyBorder="1" applyAlignment="1" applyProtection="0">
      <alignment horizontal="center" vertical="center" wrapText="1"/>
    </xf>
    <xf numFmtId="49" fontId="1" fillId="19" borderId="45" applyNumberFormat="1" applyFont="1" applyFill="1" applyBorder="1" applyAlignment="1" applyProtection="0">
      <alignment horizontal="center" vertical="center" wrapText="1"/>
    </xf>
    <xf numFmtId="0" fontId="0" fillId="19" borderId="31" applyNumberFormat="1" applyFont="1" applyFill="1" applyBorder="1" applyAlignment="1" applyProtection="0">
      <alignment horizontal="center" vertical="center" wrapText="1"/>
    </xf>
    <xf numFmtId="49" fontId="0" fillId="15" borderId="30" applyNumberFormat="1" applyFont="1" applyFill="1" applyBorder="1" applyAlignment="1" applyProtection="0">
      <alignment horizontal="center" vertical="center" wrapText="1"/>
    </xf>
    <xf numFmtId="49" fontId="0" fillId="15" borderId="32" applyNumberFormat="1" applyFont="1" applyFill="1" applyBorder="1" applyAlignment="1" applyProtection="0">
      <alignment horizontal="center" vertical="center" wrapText="1"/>
    </xf>
    <xf numFmtId="49" fontId="0" fillId="20" borderId="30" applyNumberFormat="1" applyFont="1" applyFill="1" applyBorder="1" applyAlignment="1" applyProtection="0">
      <alignment horizontal="center" vertical="center" wrapText="1"/>
    </xf>
    <xf numFmtId="49" fontId="1" fillId="19" borderId="46" applyNumberFormat="1" applyFont="1" applyFill="1" applyBorder="1" applyAlignment="1" applyProtection="0">
      <alignment horizontal="center" vertical="center" wrapText="1"/>
    </xf>
    <xf numFmtId="49" fontId="0" fillId="15" borderId="33" applyNumberFormat="1" applyFont="1" applyFill="1" applyBorder="1" applyAlignment="1" applyProtection="0">
      <alignment horizontal="center" vertical="center" wrapText="1"/>
    </xf>
    <xf numFmtId="49" fontId="0" fillId="15" borderId="35" applyNumberFormat="1" applyFont="1" applyFill="1" applyBorder="1" applyAlignment="1" applyProtection="0">
      <alignment horizontal="center" vertical="center" wrapText="1"/>
    </xf>
    <xf numFmtId="49" fontId="0" fillId="20" borderId="33" applyNumberFormat="1" applyFont="1" applyFill="1" applyBorder="1" applyAlignment="1" applyProtection="0">
      <alignment horizontal="center" vertical="center" wrapText="1"/>
    </xf>
    <xf numFmtId="0" fontId="0" fillId="5" borderId="34" applyNumberFormat="0" applyFont="1" applyFill="1" applyBorder="1" applyAlignment="1" applyProtection="0">
      <alignment horizontal="center" vertical="center" wrapText="1"/>
    </xf>
    <xf numFmtId="0" fontId="0" fillId="15" borderId="49" applyNumberFormat="0" applyFont="1" applyFill="1" applyBorder="1" applyAlignment="1" applyProtection="0">
      <alignment horizontal="center" vertical="center" wrapText="1"/>
    </xf>
    <xf numFmtId="49" fontId="0" fillId="15" borderId="49" applyNumberFormat="1" applyFont="1" applyFill="1" applyBorder="1" applyAlignment="1" applyProtection="0">
      <alignment horizontal="center" vertical="center"/>
    </xf>
    <xf numFmtId="49" fontId="0" fillId="15" borderId="33" applyNumberFormat="1" applyFont="1" applyFill="1" applyBorder="1" applyAlignment="1" applyProtection="0">
      <alignment horizontal="center" vertical="center"/>
    </xf>
    <xf numFmtId="0" fontId="0" fillId="15" borderId="35" applyNumberFormat="0" applyFont="1" applyFill="1" applyBorder="1" applyAlignment="1" applyProtection="0">
      <alignment horizontal="center" vertical="center"/>
    </xf>
    <xf numFmtId="49" fontId="0" fillId="19" borderId="35" applyNumberFormat="1" applyFont="1" applyFill="1" applyBorder="1" applyAlignment="1" applyProtection="0">
      <alignment horizontal="center" vertical="center" wrapText="1"/>
    </xf>
    <xf numFmtId="0" fontId="0" fillId="4" borderId="33" applyNumberFormat="0" applyFont="1" applyFill="1" applyBorder="1" applyAlignment="1" applyProtection="0">
      <alignment horizontal="center" vertical="center" wrapText="1"/>
    </xf>
    <xf numFmtId="0" fontId="0" fillId="4" borderId="34" applyNumberFormat="0" applyFont="1" applyFill="1" applyBorder="1" applyAlignment="1" applyProtection="0">
      <alignment horizontal="center" vertical="center" wrapText="1"/>
    </xf>
    <xf numFmtId="0" fontId="0" fillId="4" borderId="35" applyNumberFormat="0" applyFont="1" applyFill="1" applyBorder="1" applyAlignment="1" applyProtection="0">
      <alignment horizontal="center" vertical="center" wrapText="1"/>
    </xf>
    <xf numFmtId="49" fontId="1" fillId="19" borderId="49" applyNumberFormat="1" applyFont="1" applyFill="1" applyBorder="1" applyAlignment="1" applyProtection="0">
      <alignment horizontal="center" vertical="center" wrapText="1"/>
    </xf>
    <xf numFmtId="49" fontId="0" fillId="15" borderId="41" applyNumberFormat="1" applyFont="1" applyFill="1" applyBorder="1" applyAlignment="1" applyProtection="0">
      <alignment horizontal="center" vertical="center" wrapText="1"/>
    </xf>
    <xf numFmtId="49" fontId="0" fillId="15" borderId="92" applyNumberFormat="1" applyFont="1" applyFill="1" applyBorder="1" applyAlignment="1" applyProtection="0">
      <alignment horizontal="center" vertical="center" wrapText="1"/>
    </xf>
    <xf numFmtId="2" fontId="0" fillId="15" borderId="94" applyNumberFormat="1" applyFont="1" applyFill="1" applyBorder="1" applyAlignment="1" applyProtection="0">
      <alignment horizontal="center" vertical="center"/>
    </xf>
    <xf numFmtId="49" fontId="0" fillId="15" borderId="65" applyNumberFormat="1" applyFont="1" applyFill="1" applyBorder="1" applyAlignment="1" applyProtection="0">
      <alignment horizontal="center" vertical="center"/>
    </xf>
    <xf numFmtId="0" fontId="0" fillId="15" borderId="41" applyNumberFormat="0" applyFont="1" applyFill="1" applyBorder="1" applyAlignment="1" applyProtection="0">
      <alignment horizontal="center" vertical="center"/>
    </xf>
    <xf numFmtId="60" fontId="0" fillId="8" borderId="92" applyNumberFormat="1" applyFont="1" applyFill="1" applyBorder="1" applyAlignment="1" applyProtection="0">
      <alignment horizontal="center" vertical="center" wrapText="1"/>
    </xf>
    <xf numFmtId="0" fontId="0" fillId="19" borderId="94" applyNumberFormat="1" applyFont="1" applyFill="1" applyBorder="1" applyAlignment="1" applyProtection="0">
      <alignment horizontal="center" vertical="center" wrapText="1"/>
    </xf>
    <xf numFmtId="49" fontId="0" fillId="19" borderId="65" applyNumberFormat="1" applyFont="1" applyFill="1" applyBorder="1" applyAlignment="1" applyProtection="0">
      <alignment horizontal="center" vertical="center" wrapText="1"/>
    </xf>
    <xf numFmtId="0" fontId="0" fillId="19" borderId="41" applyNumberFormat="1" applyFont="1" applyFill="1" applyBorder="1" applyAlignment="1" applyProtection="0">
      <alignment horizontal="center" vertical="center" wrapText="1"/>
    </xf>
    <xf numFmtId="0" fontId="0" fillId="19" borderId="66" applyNumberFormat="1" applyFont="1" applyFill="1" applyBorder="1" applyAlignment="1" applyProtection="0">
      <alignment horizontal="center" vertical="center" wrapText="1"/>
    </xf>
    <xf numFmtId="0" fontId="0" fillId="4" borderId="66" applyNumberFormat="0" applyFont="1" applyFill="1" applyBorder="1" applyAlignment="1" applyProtection="0">
      <alignment horizontal="center" vertical="center" wrapText="1"/>
    </xf>
    <xf numFmtId="49" fontId="0" fillId="19" borderId="66" applyNumberFormat="1" applyFont="1" applyFill="1" applyBorder="1" applyAlignment="1" applyProtection="0">
      <alignment horizontal="center" vertical="center" wrapText="1"/>
    </xf>
    <xf numFmtId="49" fontId="0" fillId="19" borderId="94" applyNumberFormat="1" applyFont="1" applyFill="1" applyBorder="1" applyAlignment="1" applyProtection="0">
      <alignment horizontal="center" vertical="center" wrapText="1"/>
    </xf>
    <xf numFmtId="0" fontId="0" fillId="19" borderId="65" applyNumberFormat="1" applyFont="1" applyFill="1" applyBorder="1" applyAlignment="1" applyProtection="0">
      <alignment horizontal="center" vertical="center" wrapText="1"/>
    </xf>
    <xf numFmtId="49" fontId="0" fillId="19" borderId="41" applyNumberFormat="1" applyFont="1" applyFill="1" applyBorder="1" applyAlignment="1" applyProtection="0">
      <alignment horizontal="center" vertical="center" wrapText="1"/>
    </xf>
    <xf numFmtId="61" fontId="0" fillId="19" borderId="41" applyNumberFormat="1" applyFont="1" applyFill="1" applyBorder="1" applyAlignment="1" applyProtection="0">
      <alignment horizontal="center" vertical="center" wrapText="1"/>
    </xf>
    <xf numFmtId="49" fontId="0" borderId="82" applyNumberFormat="1" applyFont="1" applyFill="0" applyBorder="1" applyAlignment="1" applyProtection="0">
      <alignment horizontal="center" vertical="bottom"/>
    </xf>
    <xf numFmtId="2" fontId="0" fillId="8" borderId="94" applyNumberFormat="1" applyFont="1" applyFill="1" applyBorder="1" applyAlignment="1" applyProtection="0">
      <alignment horizontal="center" vertical="center" wrapText="1"/>
    </xf>
    <xf numFmtId="0" fontId="0" fillId="22" borderId="39" applyNumberFormat="0" applyFont="1" applyFill="1" applyBorder="1" applyAlignment="1" applyProtection="0">
      <alignment vertical="center" wrapText="1"/>
    </xf>
    <xf numFmtId="0" fontId="0" fillId="22" borderId="93" applyNumberFormat="0" applyFont="1" applyFill="1" applyBorder="1" applyAlignment="1" applyProtection="0">
      <alignment vertical="bottom"/>
    </xf>
    <xf numFmtId="60" fontId="0" fillId="8" borderId="94" applyNumberFormat="1" applyFont="1" applyFill="1" applyBorder="1" applyAlignment="1" applyProtection="0">
      <alignment horizontal="center" vertical="center" wrapText="1"/>
    </xf>
    <xf numFmtId="0" fontId="10" borderId="5" applyNumberFormat="0" applyFont="1" applyFill="0" applyBorder="1" applyAlignment="1" applyProtection="0">
      <alignment vertical="bottom"/>
    </xf>
    <xf numFmtId="49" fontId="24" fillId="14" borderId="62" applyNumberFormat="1" applyFont="1" applyFill="1" applyBorder="1" applyAlignment="1" applyProtection="0">
      <alignment horizontal="center" vertical="center" wrapText="1"/>
    </xf>
    <xf numFmtId="49" fontId="24" fillId="14" borderId="9" applyNumberFormat="1" applyFont="1" applyFill="1" applyBorder="1" applyAlignment="1" applyProtection="0">
      <alignment horizontal="center" vertical="center" wrapText="1"/>
    </xf>
    <xf numFmtId="0" fontId="24" fillId="14" borderId="104" applyNumberFormat="0" applyFont="1" applyFill="1" applyBorder="1" applyAlignment="1" applyProtection="0">
      <alignment horizontal="center" vertical="center" wrapText="1"/>
    </xf>
    <xf numFmtId="49" fontId="24" fillId="14" borderId="43" applyNumberFormat="1" applyFont="1" applyFill="1" applyBorder="1" applyAlignment="1" applyProtection="0">
      <alignment horizontal="center" vertical="center"/>
    </xf>
    <xf numFmtId="0" fontId="24" fillId="14" borderId="105" applyNumberFormat="0" applyFont="1" applyFill="1" applyBorder="1" applyAlignment="1" applyProtection="0">
      <alignment horizontal="center" vertical="center"/>
    </xf>
    <xf numFmtId="0" fontId="24" fillId="14" borderId="44" applyNumberFormat="0" applyFont="1" applyFill="1" applyBorder="1" applyAlignment="1" applyProtection="0">
      <alignment horizontal="center" vertical="center"/>
    </xf>
    <xf numFmtId="0" fontId="24" fillId="14" borderId="103" applyNumberFormat="0" applyFont="1" applyFill="1" applyBorder="1" applyAlignment="1" applyProtection="0">
      <alignment horizontal="center" vertical="center" wrapText="1"/>
    </xf>
    <xf numFmtId="0" fontId="24" fillId="14" borderId="106" applyNumberFormat="0" applyFont="1" applyFill="1" applyBorder="1" applyAlignment="1" applyProtection="0">
      <alignment horizontal="center" vertical="center" wrapText="1"/>
    </xf>
    <xf numFmtId="0" fontId="24" fillId="14" borderId="107" applyNumberFormat="0" applyFont="1" applyFill="1" applyBorder="1" applyAlignment="1" applyProtection="0">
      <alignment horizontal="center" vertical="center" wrapText="1"/>
    </xf>
    <xf numFmtId="49" fontId="24" fillId="14" borderId="47" applyNumberFormat="1" applyFont="1" applyFill="1" applyBorder="1" applyAlignment="1" applyProtection="0">
      <alignment horizontal="center" vertical="center" wrapText="1"/>
    </xf>
    <xf numFmtId="0" fontId="24" fillId="14" borderId="101" applyNumberFormat="0" applyFont="1" applyFill="1" applyBorder="1" applyAlignment="1" applyProtection="0">
      <alignment horizontal="center" vertical="center" wrapText="1"/>
    </xf>
    <xf numFmtId="0" fontId="24" fillId="14" borderId="108" applyNumberFormat="0" applyFont="1" applyFill="1" applyBorder="1" applyAlignment="1" applyProtection="0">
      <alignment horizontal="center" vertical="center" wrapText="1"/>
    </xf>
    <xf numFmtId="49" fontId="24" fillId="10" borderId="43" applyNumberFormat="1" applyFont="1" applyFill="1" applyBorder="1" applyAlignment="1" applyProtection="0">
      <alignment horizontal="center" vertical="center"/>
    </xf>
    <xf numFmtId="0" fontId="24" fillId="10" borderId="44" applyNumberFormat="0" applyFont="1" applyFill="1" applyBorder="1" applyAlignment="1" applyProtection="0">
      <alignment horizontal="center" vertical="center"/>
    </xf>
    <xf numFmtId="1" fontId="0" fillId="5" borderId="52" applyNumberFormat="1" applyFont="1" applyFill="1" applyBorder="1" applyAlignment="1" applyProtection="0">
      <alignment horizontal="center" vertical="center" wrapText="1"/>
    </xf>
    <xf numFmtId="1" fontId="0" fillId="5" borderId="109" applyNumberFormat="1" applyFont="1" applyFill="1" applyBorder="1" applyAlignment="1" applyProtection="0">
      <alignment horizontal="center" vertical="center" wrapText="1"/>
    </xf>
    <xf numFmtId="1" fontId="0" fillId="5" borderId="110" applyNumberFormat="1" applyFont="1" applyFill="1" applyBorder="1" applyAlignment="1" applyProtection="0">
      <alignment horizontal="center" vertical="center" wrapText="1"/>
    </xf>
    <xf numFmtId="1" fontId="0" fillId="5" borderId="109" applyNumberFormat="1" applyFont="1" applyFill="1" applyBorder="1" applyAlignment="1" applyProtection="0">
      <alignment horizontal="center" vertical="center"/>
    </xf>
    <xf numFmtId="1" fontId="0" fillId="5" borderId="87" applyNumberFormat="1" applyFont="1" applyFill="1" applyBorder="1" applyAlignment="1" applyProtection="0">
      <alignment horizontal="center" vertical="center"/>
    </xf>
    <xf numFmtId="1" fontId="0" fillId="19" borderId="43" applyNumberFormat="1" applyFont="1" applyFill="1" applyBorder="1" applyAlignment="1" applyProtection="0">
      <alignment horizontal="center" vertical="center" wrapText="1"/>
    </xf>
    <xf numFmtId="1" fontId="0" fillId="19" borderId="105" applyNumberFormat="1" applyFont="1" applyFill="1" applyBorder="1" applyAlignment="1" applyProtection="0">
      <alignment horizontal="center" vertical="center" wrapText="1"/>
    </xf>
    <xf numFmtId="1" fontId="0" fillId="19" borderId="111" applyNumberFormat="1" applyFont="1" applyFill="1" applyBorder="1" applyAlignment="1" applyProtection="0">
      <alignment horizontal="center" vertical="center" wrapText="1"/>
    </xf>
    <xf numFmtId="1" fontId="0" fillId="19" borderId="112" applyNumberFormat="1" applyFont="1" applyFill="1" applyBorder="1" applyAlignment="1" applyProtection="0">
      <alignment horizontal="center" vertical="center" wrapText="1"/>
    </xf>
    <xf numFmtId="1" fontId="0" fillId="19" borderId="44" applyNumberFormat="1" applyFont="1" applyFill="1" applyBorder="1" applyAlignment="1" applyProtection="0">
      <alignment horizontal="center" vertical="center" wrapText="1"/>
    </xf>
    <xf numFmtId="49" fontId="24" fillId="10" borderId="25" applyNumberFormat="1" applyFont="1" applyFill="1" applyBorder="1" applyAlignment="1" applyProtection="0">
      <alignment horizontal="center" vertical="center"/>
    </xf>
    <xf numFmtId="0" fontId="24" fillId="10" borderId="29" applyNumberFormat="0" applyFont="1" applyFill="1" applyBorder="1" applyAlignment="1" applyProtection="0">
      <alignment horizontal="center" vertical="center"/>
    </xf>
    <xf numFmtId="1" fontId="0" fillId="5" borderId="30" applyNumberFormat="1" applyFont="1" applyFill="1" applyBorder="1" applyAlignment="1" applyProtection="0">
      <alignment horizontal="center" vertical="center" wrapText="1"/>
    </xf>
    <xf numFmtId="1" fontId="0" fillId="5" borderId="58" applyNumberFormat="1" applyFont="1" applyFill="1" applyBorder="1" applyAlignment="1" applyProtection="0">
      <alignment horizontal="center" vertical="center" wrapText="1"/>
    </xf>
    <xf numFmtId="1" fontId="0" fillId="5" borderId="113" applyNumberFormat="1" applyFont="1" applyFill="1" applyBorder="1" applyAlignment="1" applyProtection="0">
      <alignment horizontal="center" vertical="center" wrapText="1"/>
    </xf>
    <xf numFmtId="1" fontId="0" fillId="5" borderId="58" applyNumberFormat="1" applyFont="1" applyFill="1" applyBorder="1" applyAlignment="1" applyProtection="0">
      <alignment horizontal="center" vertical="center"/>
    </xf>
    <xf numFmtId="1" fontId="0" fillId="5" borderId="59" applyNumberFormat="1" applyFont="1" applyFill="1" applyBorder="1" applyAlignment="1" applyProtection="0">
      <alignment horizontal="center" vertical="center"/>
    </xf>
    <xf numFmtId="1" fontId="0" fillId="19" borderId="25" applyNumberFormat="1" applyFont="1" applyFill="1" applyBorder="1" applyAlignment="1" applyProtection="0">
      <alignment horizontal="center" vertical="center" wrapText="1"/>
    </xf>
    <xf numFmtId="1" fontId="0" fillId="19" borderId="28" applyNumberFormat="1" applyFont="1" applyFill="1" applyBorder="1" applyAlignment="1" applyProtection="0">
      <alignment horizontal="center" vertical="center" wrapText="1"/>
    </xf>
    <xf numFmtId="1" fontId="0" fillId="19" borderId="26" applyNumberFormat="1" applyFont="1" applyFill="1" applyBorder="1" applyAlignment="1" applyProtection="0">
      <alignment horizontal="center" vertical="center" wrapText="1"/>
    </xf>
    <xf numFmtId="1" fontId="0" fillId="19" borderId="27" applyNumberFormat="1" applyFont="1" applyFill="1" applyBorder="1" applyAlignment="1" applyProtection="0">
      <alignment horizontal="center" vertical="center" wrapText="1"/>
    </xf>
    <xf numFmtId="1" fontId="0" fillId="19" borderId="29" applyNumberFormat="1" applyFont="1" applyFill="1" applyBorder="1" applyAlignment="1" applyProtection="0">
      <alignment horizontal="center" vertical="center" wrapText="1"/>
    </xf>
    <xf numFmtId="49" fontId="24" fillId="10" borderId="33" applyNumberFormat="1" applyFont="1" applyFill="1" applyBorder="1" applyAlignment="1" applyProtection="0">
      <alignment horizontal="center" vertical="center"/>
    </xf>
    <xf numFmtId="0" fontId="24" fillId="10" borderId="35" applyNumberFormat="0" applyFont="1" applyFill="1" applyBorder="1" applyAlignment="1" applyProtection="0">
      <alignment horizontal="center" vertical="center"/>
    </xf>
    <xf numFmtId="1" fontId="10" fillId="8" borderId="33" applyNumberFormat="1" applyFont="1" applyFill="1" applyBorder="1" applyAlignment="1" applyProtection="0">
      <alignment horizontal="center" vertical="center" wrapText="1"/>
    </xf>
    <xf numFmtId="1" fontId="10" fillId="8" borderId="95" applyNumberFormat="1" applyFont="1" applyFill="1" applyBorder="1" applyAlignment="1" applyProtection="0">
      <alignment horizontal="center" vertical="center" wrapText="1"/>
    </xf>
    <xf numFmtId="1" fontId="10" fillId="8" borderId="108" applyNumberFormat="1" applyFont="1" applyFill="1" applyBorder="1" applyAlignment="1" applyProtection="0">
      <alignment horizontal="center" vertical="center" wrapText="1"/>
    </xf>
    <xf numFmtId="1" fontId="10" fillId="8" borderId="48" applyNumberFormat="1" applyFont="1" applyFill="1" applyBorder="1" applyAlignment="1" applyProtection="0">
      <alignment horizontal="center" vertical="center" wrapText="1"/>
    </xf>
    <xf numFmtId="1" fontId="10" fillId="8" borderId="34" applyNumberFormat="1" applyFont="1" applyFill="1" applyBorder="1" applyAlignment="1" applyProtection="0">
      <alignment horizontal="center" vertical="center" wrapText="1"/>
    </xf>
    <xf numFmtId="49" fontId="10" fillId="4" borderId="10" applyNumberFormat="1" applyFont="1" applyFill="1" applyBorder="1" applyAlignment="1" applyProtection="0">
      <alignment horizontal="center" vertical="center"/>
    </xf>
    <xf numFmtId="0" fontId="10" fillId="4" borderId="10" applyNumberFormat="0" applyFont="1" applyFill="1" applyBorder="1" applyAlignment="1" applyProtection="0">
      <alignment horizontal="center" vertical="center"/>
    </xf>
    <xf numFmtId="49" fontId="25" fillId="17" borderId="3" applyNumberFormat="1" applyFont="1" applyFill="1" applyBorder="1" applyAlignment="1" applyProtection="0">
      <alignment horizontal="center" vertical="center"/>
    </xf>
    <xf numFmtId="0" fontId="25" fillId="17" borderId="3" applyNumberFormat="0" applyFont="1" applyFill="1" applyBorder="1" applyAlignment="1" applyProtection="0">
      <alignment horizontal="center" vertical="center"/>
    </xf>
    <xf numFmtId="49" fontId="15" fillId="14" borderId="43" applyNumberFormat="1" applyFont="1" applyFill="1" applyBorder="1" applyAlignment="1" applyProtection="0">
      <alignment horizontal="center" vertical="center" wrapText="1"/>
    </xf>
    <xf numFmtId="0" fontId="15" fillId="14" borderId="105" applyNumberFormat="0" applyFont="1" applyFill="1" applyBorder="1" applyAlignment="1" applyProtection="0">
      <alignment horizontal="center" vertical="center" wrapText="1"/>
    </xf>
    <xf numFmtId="0" fontId="15" fillId="14" borderId="111" applyNumberFormat="0" applyFont="1" applyFill="1" applyBorder="1" applyAlignment="1" applyProtection="0">
      <alignment horizontal="center" vertical="center" wrapText="1"/>
    </xf>
    <xf numFmtId="49" fontId="11" fillId="5" borderId="109" applyNumberFormat="1" applyFont="1" applyFill="1" applyBorder="1" applyAlignment="1" applyProtection="0">
      <alignment horizontal="center" vertical="center"/>
    </xf>
    <xf numFmtId="0" fontId="11" fillId="5" borderId="86" applyNumberFormat="0" applyFont="1" applyFill="1" applyBorder="1" applyAlignment="1" applyProtection="0">
      <alignment horizontal="center" vertical="center"/>
    </xf>
    <xf numFmtId="0" fontId="11" fillId="5" borderId="87" applyNumberFormat="0" applyFont="1" applyFill="1" applyBorder="1" applyAlignment="1" applyProtection="0">
      <alignment horizontal="center" vertical="center"/>
    </xf>
    <xf numFmtId="49" fontId="15" fillId="14" borderId="47" applyNumberFormat="1" applyFont="1" applyFill="1" applyBorder="1" applyAlignment="1" applyProtection="0">
      <alignment horizontal="center" vertical="center" wrapText="1"/>
    </xf>
    <xf numFmtId="0" fontId="15" fillId="14" borderId="101" applyNumberFormat="0" applyFont="1" applyFill="1" applyBorder="1" applyAlignment="1" applyProtection="0">
      <alignment horizontal="center" vertical="center" wrapText="1"/>
    </xf>
    <xf numFmtId="0" fontId="15" fillId="14" borderId="108" applyNumberFormat="0" applyFont="1" applyFill="1" applyBorder="1" applyAlignment="1" applyProtection="0">
      <alignment horizontal="center" vertical="center" wrapText="1"/>
    </xf>
    <xf numFmtId="49" fontId="11" fillId="5" borderId="60" applyNumberFormat="1" applyFont="1" applyFill="1" applyBorder="1" applyAlignment="1" applyProtection="0">
      <alignment horizontal="center" vertical="center"/>
    </xf>
    <xf numFmtId="0" fontId="11" fillId="5" borderId="91" applyNumberFormat="0" applyFont="1" applyFill="1" applyBorder="1" applyAlignment="1" applyProtection="0">
      <alignment horizontal="center" vertical="center"/>
    </xf>
    <xf numFmtId="0" fontId="11" fillId="5" borderId="61" applyNumberFormat="0" applyFont="1" applyFill="1" applyBorder="1" applyAlignment="1" applyProtection="0">
      <alignment horizontal="center" vertical="center"/>
    </xf>
    <xf numFmtId="0" fontId="15" fillId="14" borderId="57" applyNumberFormat="0" applyFont="1" applyFill="1" applyBorder="1" applyAlignment="1" applyProtection="0">
      <alignment horizontal="center" vertical="center" wrapText="1"/>
    </xf>
    <xf numFmtId="49" fontId="15" fillId="14" borderId="57" applyNumberFormat="1" applyFont="1" applyFill="1" applyBorder="1" applyAlignment="1" applyProtection="0">
      <alignment horizontal="center" vertical="center" wrapText="1"/>
    </xf>
    <xf numFmtId="49" fontId="15" fillId="14" borderId="53" applyNumberFormat="1" applyFont="1" applyFill="1" applyBorder="1" applyAlignment="1" applyProtection="0">
      <alignment horizontal="center" vertical="center" wrapText="1"/>
    </xf>
    <xf numFmtId="0" fontId="31" borderId="12" applyNumberFormat="0" applyFont="1" applyFill="0" applyBorder="1" applyAlignment="1" applyProtection="0">
      <alignment vertical="bottom"/>
    </xf>
    <xf numFmtId="49" fontId="15" fillId="10" borderId="18" applyNumberFormat="1" applyFont="1" applyFill="1" applyBorder="1" applyAlignment="1" applyProtection="0">
      <alignment horizontal="center" vertical="center" wrapText="1"/>
    </xf>
    <xf numFmtId="0" fontId="15" fillId="10" borderId="21" applyNumberFormat="0" applyFont="1" applyFill="1" applyBorder="1" applyAlignment="1" applyProtection="0">
      <alignment horizontal="center" vertical="center" wrapText="1"/>
    </xf>
    <xf numFmtId="0" fontId="15" fillId="10" borderId="19" applyNumberFormat="0" applyFont="1" applyFill="1" applyBorder="1" applyAlignment="1" applyProtection="0">
      <alignment horizontal="center" vertical="center" wrapText="1"/>
    </xf>
    <xf numFmtId="49" fontId="1" fillId="15" borderId="31" applyNumberFormat="1" applyFont="1" applyFill="1" applyBorder="1" applyAlignment="1" applyProtection="0">
      <alignment horizontal="center" vertical="center" wrapText="1"/>
    </xf>
    <xf numFmtId="60" fontId="1" fillId="15" borderId="31" applyNumberFormat="1" applyFont="1" applyFill="1" applyBorder="1" applyAlignment="1" applyProtection="0">
      <alignment horizontal="center" vertical="center" wrapText="1"/>
    </xf>
    <xf numFmtId="49" fontId="1" fillId="15" borderId="32" applyNumberFormat="1" applyFont="1" applyFill="1" applyBorder="1" applyAlignment="1" applyProtection="0">
      <alignment horizontal="center" vertical="center" wrapText="1"/>
    </xf>
    <xf numFmtId="0" fontId="7" borderId="12" applyNumberFormat="0" applyFont="1" applyFill="0" applyBorder="1" applyAlignment="1" applyProtection="0">
      <alignment vertical="bottom"/>
    </xf>
    <xf numFmtId="0" fontId="15" fillId="10" borderId="23" applyNumberFormat="0" applyFont="1" applyFill="1" applyBorder="1" applyAlignment="1" applyProtection="0">
      <alignment horizontal="center" vertical="center" wrapText="1"/>
    </xf>
    <xf numFmtId="0" fontId="15" fillId="10" borderId="16" applyNumberFormat="0" applyFont="1" applyFill="1" applyBorder="1" applyAlignment="1" applyProtection="0">
      <alignment horizontal="center" vertical="center" wrapText="1"/>
    </xf>
    <xf numFmtId="0" fontId="15" fillId="10" borderId="24" applyNumberFormat="0" applyFont="1" applyFill="1" applyBorder="1" applyAlignment="1" applyProtection="0">
      <alignment horizontal="center" vertical="center" wrapText="1"/>
    </xf>
    <xf numFmtId="49" fontId="1" fillId="15" borderId="31" applyNumberFormat="1" applyFont="1" applyFill="1" applyBorder="1" applyAlignment="1" applyProtection="0">
      <alignment horizontal="center" vertical="center"/>
    </xf>
    <xf numFmtId="49" fontId="1" fillId="15" borderId="32" applyNumberFormat="1" applyFont="1" applyFill="1" applyBorder="1" applyAlignment="1" applyProtection="0">
      <alignment horizontal="center" vertical="bottom" wrapText="1"/>
    </xf>
    <xf numFmtId="0" fontId="15" fillId="10" borderId="83" applyNumberFormat="0" applyFont="1" applyFill="1" applyBorder="1" applyAlignment="1" applyProtection="0">
      <alignment horizontal="center" vertical="center" wrapText="1"/>
    </xf>
    <xf numFmtId="0" fontId="15" fillId="10" borderId="5" applyNumberFormat="0" applyFont="1" applyFill="1" applyBorder="1" applyAlignment="1" applyProtection="0">
      <alignment horizontal="center" vertical="center" wrapText="1"/>
    </xf>
    <xf numFmtId="0" fontId="15" fillId="10" borderId="107" applyNumberFormat="0" applyFont="1" applyFill="1" applyBorder="1" applyAlignment="1" applyProtection="0">
      <alignment horizontal="center" vertical="center" wrapText="1"/>
    </xf>
    <xf numFmtId="49" fontId="1" fillId="15" borderId="34" applyNumberFormat="1" applyFont="1" applyFill="1" applyBorder="1" applyAlignment="1" applyProtection="0">
      <alignment horizontal="center" vertical="center"/>
    </xf>
    <xf numFmtId="60" fontId="1" fillId="15" borderId="34" applyNumberFormat="1" applyFont="1" applyFill="1" applyBorder="1" applyAlignment="1" applyProtection="0">
      <alignment horizontal="center" vertical="center" wrapText="1"/>
    </xf>
    <xf numFmtId="49" fontId="1" fillId="15" borderId="35" applyNumberFormat="1" applyFont="1" applyFill="1" applyBorder="1" applyAlignment="1" applyProtection="0">
      <alignment horizontal="center" vertical="center" wrapText="1"/>
    </xf>
    <xf numFmtId="0" fontId="0" borderId="50" applyNumberFormat="0" applyFont="1" applyFill="0" applyBorder="1" applyAlignment="1" applyProtection="0">
      <alignment vertical="bottom"/>
    </xf>
    <xf numFmtId="0" fontId="7" borderId="4" applyNumberFormat="0" applyFont="1" applyFill="0" applyBorder="1" applyAlignment="1" applyProtection="0">
      <alignment vertical="bottom"/>
    </xf>
    <xf numFmtId="49" fontId="15" fillId="10" borderId="25" applyNumberFormat="1" applyFont="1" applyFill="1" applyBorder="1" applyAlignment="1" applyProtection="0">
      <alignment horizontal="center" vertical="center" wrapText="1"/>
    </xf>
    <xf numFmtId="0" fontId="15" fillId="10" borderId="28" applyNumberFormat="0" applyFont="1" applyFill="1" applyBorder="1" applyAlignment="1" applyProtection="0">
      <alignment horizontal="center" vertical="center" wrapText="1"/>
    </xf>
    <xf numFmtId="0" fontId="15" fillId="10" borderId="26" applyNumberFormat="0" applyFont="1" applyFill="1" applyBorder="1" applyAlignment="1" applyProtection="0">
      <alignment horizontal="center" vertical="center" wrapText="1"/>
    </xf>
    <xf numFmtId="61" fontId="1" fillId="15" borderId="31" applyNumberFormat="1" applyFont="1" applyFill="1" applyBorder="1" applyAlignment="1" applyProtection="0">
      <alignment horizontal="center" vertical="center" wrapText="1"/>
    </xf>
    <xf numFmtId="49" fontId="13" fillId="15" borderId="32" applyNumberFormat="1" applyFont="1" applyFill="1" applyBorder="1" applyAlignment="1" applyProtection="0">
      <alignment horizontal="center" vertical="center" wrapText="1"/>
    </xf>
    <xf numFmtId="49" fontId="15" fillId="10" borderId="47" applyNumberFormat="1" applyFont="1" applyFill="1" applyBorder="1" applyAlignment="1" applyProtection="0">
      <alignment horizontal="center" vertical="center" wrapText="1"/>
    </xf>
    <xf numFmtId="0" fontId="15" fillId="10" borderId="101" applyNumberFormat="0" applyFont="1" applyFill="1" applyBorder="1" applyAlignment="1" applyProtection="0">
      <alignment horizontal="center" vertical="center" wrapText="1"/>
    </xf>
    <xf numFmtId="0" fontId="15" fillId="10" borderId="108" applyNumberFormat="0" applyFont="1" applyFill="1" applyBorder="1" applyAlignment="1" applyProtection="0">
      <alignment horizontal="center" vertical="center" wrapText="1"/>
    </xf>
    <xf numFmtId="60" fontId="1" fillId="15" borderId="95" applyNumberFormat="1" applyFont="1" applyFill="1" applyBorder="1" applyAlignment="1" applyProtection="0">
      <alignment horizontal="center" vertical="center" wrapText="1"/>
    </xf>
    <xf numFmtId="60" fontId="1" fillId="15" borderId="101" applyNumberFormat="1" applyFont="1" applyFill="1" applyBorder="1" applyAlignment="1" applyProtection="0">
      <alignment horizontal="center" vertical="center" wrapText="1"/>
    </xf>
    <xf numFmtId="60" fontId="1" fillId="15" borderId="108" applyNumberFormat="1" applyFont="1" applyFill="1" applyBorder="1" applyAlignment="1" applyProtection="0">
      <alignment horizontal="center" vertical="center" wrapText="1"/>
    </xf>
    <xf numFmtId="49" fontId="13" fillId="15" borderId="35" applyNumberFormat="1" applyFont="1" applyFill="1" applyBorder="1" applyAlignment="1" applyProtection="0">
      <alignment horizontal="center" vertical="center" wrapText="1"/>
    </xf>
    <xf numFmtId="0" fontId="30" borderId="4" applyNumberFormat="1" applyFont="1" applyFill="0" applyBorder="1" applyAlignment="1" applyProtection="0">
      <alignment vertical="bottom"/>
    </xf>
    <xf numFmtId="0" fontId="0" borderId="68" applyNumberFormat="0" applyFont="1" applyFill="0" applyBorder="1" applyAlignment="1" applyProtection="0">
      <alignment vertical="bottom"/>
    </xf>
    <xf numFmtId="0" fontId="0" borderId="69" applyNumberFormat="0" applyFont="1" applyFill="0" applyBorder="1" applyAlignment="1" applyProtection="0">
      <alignment vertical="bottom"/>
    </xf>
    <xf numFmtId="0" fontId="25" fillId="17" borderId="69" applyNumberFormat="0" applyFont="1" applyFill="1" applyBorder="1" applyAlignment="1" applyProtection="0">
      <alignment horizontal="center" vertical="center"/>
    </xf>
    <xf numFmtId="0" fontId="0" applyNumberFormat="1" applyFont="1" applyFill="0" applyBorder="0" applyAlignment="1" applyProtection="0">
      <alignment vertical="bottom"/>
    </xf>
    <xf numFmtId="0" fontId="0" borderId="1" applyNumberFormat="0" applyFont="1" applyFill="0" applyBorder="1" applyAlignment="1" applyProtection="0">
      <alignment vertical="bottom"/>
    </xf>
    <xf numFmtId="0" fontId="0" borderId="37" applyNumberFormat="0" applyFont="1" applyFill="0" applyBorder="1" applyAlignment="1" applyProtection="0">
      <alignment vertical="bottom"/>
    </xf>
    <xf numFmtId="0" fontId="0" borderId="2" applyNumberFormat="0" applyFont="1" applyFill="0" applyBorder="1" applyAlignment="1" applyProtection="0">
      <alignment vertical="bottom"/>
    </xf>
    <xf numFmtId="0" fontId="0" borderId="72" applyNumberFormat="0" applyFont="1" applyFill="0" applyBorder="1" applyAlignment="1" applyProtection="0">
      <alignment vertical="bottom"/>
    </xf>
    <xf numFmtId="0" fontId="26" borderId="2" applyNumberFormat="0" applyFont="1" applyFill="0" applyBorder="1" applyAlignment="1" applyProtection="0">
      <alignment vertical="bottom"/>
    </xf>
    <xf numFmtId="0" fontId="0" borderId="38" applyNumberFormat="0" applyFont="1" applyFill="0" applyBorder="1" applyAlignment="1" applyProtection="0">
      <alignment vertical="bottom"/>
    </xf>
    <xf numFmtId="0" fontId="0" borderId="42" applyNumberFormat="0" applyFont="1" applyFill="0" applyBorder="1" applyAlignment="1" applyProtection="0">
      <alignment vertical="bottom"/>
    </xf>
    <xf numFmtId="49" fontId="29" fillId="14" borderId="111" applyNumberFormat="1" applyFont="1" applyFill="1" applyBorder="1" applyAlignment="1" applyProtection="0">
      <alignment horizontal="center" vertical="center" wrapText="1"/>
    </xf>
    <xf numFmtId="49" fontId="29" fillId="14" borderId="53" applyNumberFormat="1" applyFont="1" applyFill="1" applyBorder="1" applyAlignment="1" applyProtection="0">
      <alignment horizontal="center" vertical="center" wrapText="1"/>
    </xf>
    <xf numFmtId="49" fontId="29" fillId="14" borderId="26" applyNumberFormat="1" applyFont="1" applyFill="1" applyBorder="1" applyAlignment="1" applyProtection="0">
      <alignment horizontal="center" vertical="center" wrapText="1"/>
    </xf>
    <xf numFmtId="0" fontId="29" fillId="14" borderId="30" applyNumberFormat="0" applyFont="1" applyFill="1" applyBorder="1" applyAlignment="1" applyProtection="0">
      <alignment horizontal="center" vertical="center" wrapText="1"/>
    </xf>
    <xf numFmtId="0" fontId="29" fillId="14" borderId="32" applyNumberFormat="0" applyFont="1" applyFill="1" applyBorder="1" applyAlignment="1" applyProtection="0">
      <alignment horizontal="center" vertical="center" wrapText="1"/>
    </xf>
    <xf numFmtId="49" fontId="0" fillId="23" borderId="30" applyNumberFormat="1" applyFont="1" applyFill="1" applyBorder="1" applyAlignment="1" applyProtection="0">
      <alignment horizontal="center" vertical="center" wrapText="1"/>
    </xf>
    <xf numFmtId="0" fontId="0" fillId="5" borderId="85" applyNumberFormat="0" applyFont="1" applyFill="1" applyBorder="1" applyAlignment="1" applyProtection="0">
      <alignment horizontal="center" vertical="center" wrapText="1"/>
    </xf>
    <xf numFmtId="2" fontId="0" fillId="5" borderId="53" applyNumberFormat="1" applyFont="1" applyFill="1" applyBorder="1" applyAlignment="1" applyProtection="0">
      <alignment horizontal="center" vertical="center" wrapText="1"/>
    </xf>
    <xf numFmtId="49" fontId="0" fillId="8" borderId="53" applyNumberFormat="1" applyFont="1" applyFill="1" applyBorder="1" applyAlignment="1" applyProtection="0">
      <alignment horizontal="center" vertical="center" wrapText="1"/>
    </xf>
    <xf numFmtId="0" fontId="0" fillId="5" borderId="52" applyNumberFormat="0" applyFont="1" applyFill="1" applyBorder="1" applyAlignment="1" applyProtection="0">
      <alignment horizontal="left" vertical="top" wrapText="1"/>
    </xf>
    <xf numFmtId="49" fontId="0" fillId="19" borderId="26" applyNumberFormat="1" applyFont="1" applyFill="1" applyBorder="1" applyAlignment="1" applyProtection="0">
      <alignment horizontal="center" vertical="center" wrapText="1"/>
    </xf>
    <xf numFmtId="2" fontId="0" fillId="5" borderId="32" applyNumberFormat="1" applyFont="1" applyFill="1" applyBorder="1" applyAlignment="1" applyProtection="0">
      <alignment horizontal="center" vertical="center" wrapText="1"/>
    </xf>
    <xf numFmtId="49" fontId="0" fillId="8" borderId="32" applyNumberFormat="1" applyFont="1" applyFill="1" applyBorder="1" applyAlignment="1" applyProtection="0">
      <alignment horizontal="center" vertical="center" wrapText="1"/>
    </xf>
    <xf numFmtId="0" fontId="0" fillId="5" borderId="30" applyNumberFormat="0" applyFont="1" applyFill="1" applyBorder="1" applyAlignment="1" applyProtection="0">
      <alignment horizontal="left" vertical="top" wrapText="1"/>
    </xf>
    <xf numFmtId="0" fontId="32" fillId="5" borderId="30" applyNumberFormat="0" applyFont="1" applyFill="1" applyBorder="1" applyAlignment="1" applyProtection="0">
      <alignment horizontal="left" vertical="top" wrapText="1"/>
    </xf>
    <xf numFmtId="49" fontId="0" fillId="23" borderId="33" applyNumberFormat="1" applyFont="1" applyFill="1" applyBorder="1" applyAlignment="1" applyProtection="0">
      <alignment horizontal="center" vertical="center" wrapText="1"/>
    </xf>
    <xf numFmtId="2" fontId="0" fillId="5" borderId="35" applyNumberFormat="1" applyFont="1" applyFill="1" applyBorder="1" applyAlignment="1" applyProtection="0">
      <alignment horizontal="center" vertical="center" wrapText="1"/>
    </xf>
    <xf numFmtId="49" fontId="0" fillId="8" borderId="35" applyNumberFormat="1" applyFont="1" applyFill="1" applyBorder="1" applyAlignment="1" applyProtection="0">
      <alignment horizontal="center" vertical="center" wrapText="1"/>
    </xf>
    <xf numFmtId="0" fontId="0" fillId="5" borderId="33" applyNumberFormat="0" applyFont="1" applyFill="1" applyBorder="1" applyAlignment="1" applyProtection="0">
      <alignment horizontal="left" vertical="top" wrapText="1"/>
    </xf>
    <xf numFmtId="0" fontId="0" fillId="5" borderId="35" applyNumberFormat="0" applyFont="1" applyFill="1" applyBorder="1" applyAlignment="1" applyProtection="0">
      <alignment horizontal="left" vertical="top" wrapText="1"/>
    </xf>
    <xf numFmtId="49" fontId="29" fillId="10" borderId="45" applyNumberFormat="1" applyFont="1" applyFill="1" applyBorder="1" applyAlignment="1" applyProtection="0">
      <alignment horizontal="center" vertical="center" wrapText="1"/>
    </xf>
    <xf numFmtId="2" fontId="0" fillId="8" borderId="52" applyNumberFormat="1" applyFont="1" applyFill="1" applyBorder="1" applyAlignment="1" applyProtection="0">
      <alignment horizontal="center" vertical="center" wrapText="1"/>
    </xf>
    <xf numFmtId="2" fontId="0" fillId="8" borderId="53" applyNumberFormat="1" applyFont="1" applyFill="1" applyBorder="1" applyAlignment="1" applyProtection="0">
      <alignment horizontal="center" vertical="center" wrapText="1"/>
    </xf>
    <xf numFmtId="49" fontId="10" borderId="95" applyNumberFormat="1" applyFont="1" applyFill="0" applyBorder="1" applyAlignment="1" applyProtection="0">
      <alignment horizontal="center" vertical="bottom"/>
    </xf>
    <xf numFmtId="0" fontId="10" borderId="101" applyNumberFormat="0" applyFont="1" applyFill="0" applyBorder="1" applyAlignment="1" applyProtection="0">
      <alignment horizontal="center" vertical="bottom"/>
    </xf>
    <xf numFmtId="0" fontId="10" borderId="48" applyNumberFormat="0" applyFont="1" applyFill="0" applyBorder="1" applyAlignment="1" applyProtection="0">
      <alignment horizontal="center" vertical="bottom"/>
    </xf>
    <xf numFmtId="49" fontId="0" fillId="20" borderId="45" applyNumberFormat="1" applyFont="1" applyFill="1" applyBorder="1" applyAlignment="1" applyProtection="0">
      <alignment horizontal="center" vertical="center"/>
    </xf>
    <xf numFmtId="0" fontId="0" fillId="21" borderId="43" applyNumberFormat="0" applyFont="1" applyFill="1" applyBorder="1" applyAlignment="1" applyProtection="0">
      <alignment horizontal="center" vertical="center" wrapText="1"/>
    </xf>
    <xf numFmtId="0" fontId="0" fillId="21" borderId="44" applyNumberFormat="0" applyFont="1" applyFill="1" applyBorder="1" applyAlignment="1" applyProtection="0">
      <alignment horizontal="center" vertical="center" wrapText="1"/>
    </xf>
    <xf numFmtId="0" fontId="0" fillId="5" borderId="45" applyNumberFormat="0" applyFont="1" applyFill="1" applyBorder="1" applyAlignment="1" applyProtection="0">
      <alignment horizontal="center" vertical="center" wrapText="1"/>
    </xf>
    <xf numFmtId="49" fontId="0" fillId="20" borderId="46" applyNumberFormat="1" applyFont="1" applyFill="1" applyBorder="1" applyAlignment="1" applyProtection="0">
      <alignment horizontal="center" vertical="center"/>
    </xf>
    <xf numFmtId="0" fontId="0" fillId="21" borderId="25" applyNumberFormat="0" applyFont="1" applyFill="1" applyBorder="1" applyAlignment="1" applyProtection="0">
      <alignment horizontal="center" vertical="center" wrapText="1"/>
    </xf>
    <xf numFmtId="0" fontId="0" fillId="21" borderId="29" applyNumberFormat="0" applyFont="1" applyFill="1" applyBorder="1" applyAlignment="1" applyProtection="0">
      <alignment horizontal="center" vertical="center" wrapText="1"/>
    </xf>
    <xf numFmtId="49" fontId="0" fillId="8" borderId="25" applyNumberFormat="1" applyFont="1" applyFill="1" applyBorder="1" applyAlignment="1" applyProtection="0">
      <alignment horizontal="center" vertical="center" wrapText="1"/>
    </xf>
    <xf numFmtId="60" fontId="0" fillId="8" borderId="28" applyNumberFormat="1" applyFont="1" applyFill="1" applyBorder="1" applyAlignment="1" applyProtection="0">
      <alignment horizontal="center" vertical="center" wrapText="1"/>
    </xf>
    <xf numFmtId="60" fontId="0" fillId="8" borderId="29" applyNumberFormat="1" applyFont="1" applyFill="1" applyBorder="1" applyAlignment="1" applyProtection="0">
      <alignment horizontal="center" vertical="center" wrapText="1"/>
    </xf>
    <xf numFmtId="49" fontId="0" fillId="20" borderId="49" applyNumberFormat="1" applyFont="1" applyFill="1" applyBorder="1" applyAlignment="1" applyProtection="0">
      <alignment horizontal="center" vertical="center"/>
    </xf>
    <xf numFmtId="0" fontId="0" fillId="21" borderId="47" applyNumberFormat="0" applyFont="1" applyFill="1" applyBorder="1" applyAlignment="1" applyProtection="0">
      <alignment horizontal="center" vertical="center" wrapText="1"/>
    </xf>
    <xf numFmtId="0" fontId="0" fillId="21" borderId="48" applyNumberFormat="0" applyFont="1" applyFill="1" applyBorder="1" applyAlignment="1" applyProtection="0">
      <alignment horizontal="center" vertical="center" wrapText="1"/>
    </xf>
    <xf numFmtId="49" fontId="0" fillId="8" borderId="47" applyNumberFormat="1" applyFont="1" applyFill="1" applyBorder="1" applyAlignment="1" applyProtection="0">
      <alignment horizontal="center" vertical="center" wrapText="1"/>
    </xf>
    <xf numFmtId="60" fontId="0" fillId="8" borderId="101" applyNumberFormat="1" applyFont="1" applyFill="1" applyBorder="1" applyAlignment="1" applyProtection="0">
      <alignment horizontal="center" vertical="center" wrapText="1"/>
    </xf>
    <xf numFmtId="60" fontId="0" fillId="8" borderId="48" applyNumberFormat="1" applyFont="1" applyFill="1" applyBorder="1" applyAlignment="1" applyProtection="0">
      <alignment horizontal="center" vertical="center" wrapText="1"/>
    </xf>
    <xf numFmtId="2" fontId="0" fillId="8" borderId="43" applyNumberFormat="1" applyFont="1" applyFill="1" applyBorder="1" applyAlignment="1" applyProtection="0">
      <alignment horizontal="center" vertical="center" wrapText="1"/>
    </xf>
    <xf numFmtId="2" fontId="0" fillId="8" borderId="105" applyNumberFormat="1" applyFont="1" applyFill="1" applyBorder="1" applyAlignment="1" applyProtection="0">
      <alignment horizontal="center" vertical="center" wrapText="1"/>
    </xf>
    <xf numFmtId="2" fontId="0" fillId="8" borderId="44" applyNumberFormat="1" applyFont="1" applyFill="1" applyBorder="1" applyAlignment="1" applyProtection="0">
      <alignment horizontal="center" vertical="center" wrapText="1"/>
    </xf>
    <xf numFmtId="60" fontId="0" fillId="8" borderId="43" applyNumberFormat="1" applyFont="1" applyFill="1" applyBorder="1" applyAlignment="1" applyProtection="0">
      <alignment horizontal="center" vertical="center" wrapText="1"/>
    </xf>
    <xf numFmtId="60" fontId="0" fillId="8" borderId="105" applyNumberFormat="1" applyFont="1" applyFill="1" applyBorder="1" applyAlignment="1" applyProtection="0">
      <alignment horizontal="center" vertical="center" wrapText="1"/>
    </xf>
    <xf numFmtId="60" fontId="0" fillId="8" borderId="44" applyNumberFormat="1" applyFont="1" applyFill="1" applyBorder="1" applyAlignment="1" applyProtection="0">
      <alignment horizontal="center" vertical="center" wrapText="1"/>
    </xf>
    <xf numFmtId="0" fontId="26" fillId="4" borderId="3" applyNumberFormat="0" applyFont="1" applyFill="1" applyBorder="1" applyAlignment="1" applyProtection="0">
      <alignment horizontal="center" vertical="bottom" wrapText="1"/>
    </xf>
    <xf numFmtId="0" fontId="26" fillId="4" borderId="6" applyNumberFormat="0" applyFont="1" applyFill="1" applyBorder="1" applyAlignment="1" applyProtection="0">
      <alignment horizontal="center" vertical="bottom" wrapText="1"/>
    </xf>
    <xf numFmtId="0" fontId="0" borderId="114" applyNumberFormat="0" applyFont="1" applyFill="0" applyBorder="1" applyAlignment="1" applyProtection="0">
      <alignment vertical="bottom"/>
    </xf>
    <xf numFmtId="0" fontId="29" fillId="14" borderId="83" applyNumberFormat="0" applyFont="1" applyFill="1" applyBorder="1" applyAlignment="1" applyProtection="0">
      <alignment horizontal="center" vertical="center" wrapText="1"/>
    </xf>
    <xf numFmtId="0" fontId="29" fillId="14" borderId="84" applyNumberFormat="0" applyFont="1" applyFill="1" applyBorder="1" applyAlignment="1" applyProtection="0">
      <alignment horizontal="center" vertical="center" wrapText="1"/>
    </xf>
    <xf numFmtId="0" fontId="0" fillId="15" borderId="45" applyNumberFormat="0" applyFont="1" applyFill="1" applyBorder="1" applyAlignment="1" applyProtection="0">
      <alignment horizontal="center" vertical="center" wrapText="1"/>
    </xf>
    <xf numFmtId="49" fontId="0" fillId="15" borderId="45" applyNumberFormat="1" applyFont="1" applyFill="1" applyBorder="1" applyAlignment="1" applyProtection="0">
      <alignment horizontal="center" vertical="center"/>
    </xf>
    <xf numFmtId="49" fontId="0" fillId="15" borderId="52" applyNumberFormat="1" applyFont="1" applyFill="1" applyBorder="1" applyAlignment="1" applyProtection="0">
      <alignment horizontal="center" vertical="center"/>
    </xf>
    <xf numFmtId="0" fontId="0" fillId="15" borderId="53" applyNumberFormat="0" applyFont="1" applyFill="1" applyBorder="1" applyAlignment="1" applyProtection="0">
      <alignment horizontal="center" vertical="center"/>
    </xf>
    <xf numFmtId="49" fontId="0" fillId="8" borderId="112" applyNumberFormat="1" applyFont="1" applyFill="1" applyBorder="1" applyAlignment="1" applyProtection="0">
      <alignment horizontal="center" vertical="center" wrapText="1"/>
    </xf>
    <xf numFmtId="0" fontId="0" borderId="75" applyNumberFormat="0" applyFont="1" applyFill="0" applyBorder="1" applyAlignment="1" applyProtection="0">
      <alignment horizontal="left" vertical="bottom"/>
    </xf>
    <xf numFmtId="49" fontId="0" fillId="8" borderId="27" applyNumberFormat="1" applyFont="1" applyFill="1" applyBorder="1" applyAlignment="1" applyProtection="0">
      <alignment horizontal="center" vertical="center" wrapText="1"/>
    </xf>
    <xf numFmtId="49" fontId="0" fillId="8" borderId="95" applyNumberFormat="1" applyFont="1" applyFill="1" applyBorder="1" applyAlignment="1" applyProtection="0">
      <alignment horizontal="center" vertical="center" wrapText="1"/>
    </xf>
    <xf numFmtId="49" fontId="29" fillId="10" borderId="94" applyNumberFormat="1" applyFont="1" applyFill="1" applyBorder="1" applyAlignment="1" applyProtection="0">
      <alignment horizontal="center" vertical="center" wrapText="1"/>
    </xf>
    <xf numFmtId="0" fontId="0" fillId="4" borderId="82" applyNumberFormat="0" applyFont="1" applyFill="1" applyBorder="1" applyAlignment="1" applyProtection="0">
      <alignment vertical="center" wrapText="1"/>
    </xf>
    <xf numFmtId="0" fontId="0" borderId="115" applyNumberFormat="0" applyFont="1" applyFill="0" applyBorder="1" applyAlignment="1" applyProtection="0">
      <alignment vertical="bottom"/>
    </xf>
    <xf numFmtId="49" fontId="15" fillId="14" borderId="39" applyNumberFormat="1" applyFont="1" applyFill="1" applyBorder="1" applyAlignment="1" applyProtection="0">
      <alignment horizontal="center" vertical="center" wrapText="1"/>
    </xf>
    <xf numFmtId="0" fontId="15" fillId="14" borderId="50" applyNumberFormat="0" applyFont="1" applyFill="1" applyBorder="1" applyAlignment="1" applyProtection="0">
      <alignment horizontal="center" vertical="center" wrapText="1"/>
    </xf>
    <xf numFmtId="0" fontId="15" fillId="14" borderId="40" applyNumberFormat="0" applyFont="1" applyFill="1" applyBorder="1" applyAlignment="1" applyProtection="0">
      <alignment horizontal="center" vertical="center" wrapText="1"/>
    </xf>
    <xf numFmtId="49" fontId="11" fillId="5" borderId="116" applyNumberFormat="1" applyFont="1" applyFill="1" applyBorder="1" applyAlignment="1" applyProtection="0">
      <alignment horizontal="center" vertical="center"/>
    </xf>
    <xf numFmtId="0" fontId="11" fillId="5" borderId="97" applyNumberFormat="0" applyFont="1" applyFill="1" applyBorder="1" applyAlignment="1" applyProtection="0">
      <alignment horizontal="center" vertical="center"/>
    </xf>
    <xf numFmtId="0" fontId="11" fillId="5" borderId="98" applyNumberFormat="0" applyFont="1" applyFill="1" applyBorder="1" applyAlignment="1" applyProtection="0">
      <alignment horizontal="center" vertical="center"/>
    </xf>
    <xf numFmtId="49" fontId="15" fillId="9" borderId="65" applyNumberFormat="1" applyFont="1" applyFill="1" applyBorder="1" applyAlignment="1" applyProtection="0">
      <alignment horizontal="center" vertical="center" wrapText="1"/>
    </xf>
    <xf numFmtId="49" fontId="15" fillId="9" borderId="66" applyNumberFormat="1" applyFont="1" applyFill="1" applyBorder="1" applyAlignment="1" applyProtection="0">
      <alignment horizontal="center" vertical="center" wrapText="1"/>
    </xf>
    <xf numFmtId="49" fontId="15" fillId="9" borderId="41" applyNumberFormat="1" applyFont="1" applyFill="1" applyBorder="1" applyAlignment="1" applyProtection="0">
      <alignment horizontal="center" vertical="center" wrapText="1"/>
    </xf>
    <xf numFmtId="49" fontId="15" fillId="10" borderId="51" applyNumberFormat="1" applyFont="1" applyFill="1" applyBorder="1" applyAlignment="1" applyProtection="0">
      <alignment horizontal="center" vertical="center" wrapText="1"/>
    </xf>
    <xf numFmtId="49" fontId="15" fillId="10" borderId="62" applyNumberFormat="1" applyFont="1" applyFill="1" applyBorder="1" applyAlignment="1" applyProtection="0">
      <alignment horizontal="center" vertical="center"/>
    </xf>
    <xf numFmtId="49" fontId="1" fillId="24" borderId="57" applyNumberFormat="1" applyFont="1" applyFill="1" applyBorder="1" applyAlignment="1" applyProtection="0">
      <alignment horizontal="center" vertical="center" wrapText="1"/>
    </xf>
    <xf numFmtId="60" fontId="1" fillId="24" borderId="57" applyNumberFormat="1" applyFont="1" applyFill="1" applyBorder="1" applyAlignment="1" applyProtection="0">
      <alignment horizontal="center" vertical="center"/>
    </xf>
    <xf numFmtId="0" fontId="13" fillId="4" borderId="64" applyNumberFormat="0" applyFont="1" applyFill="1" applyBorder="1" applyAlignment="1" applyProtection="0">
      <alignment horizontal="center" vertical="center"/>
    </xf>
    <xf numFmtId="0" fontId="15" fillId="10" borderId="54" applyNumberFormat="0" applyFont="1" applyFill="1" applyBorder="1" applyAlignment="1" applyProtection="0">
      <alignment horizontal="center" vertical="center" wrapText="1"/>
    </xf>
    <xf numFmtId="0" fontId="15" fillId="10" borderId="117" applyNumberFormat="0" applyFont="1" applyFill="1" applyBorder="1" applyAlignment="1" applyProtection="0">
      <alignment horizontal="center" vertical="center"/>
    </xf>
    <xf numFmtId="49" fontId="1" fillId="24" borderId="31" applyNumberFormat="1" applyFont="1" applyFill="1" applyBorder="1" applyAlignment="1" applyProtection="0">
      <alignment horizontal="center" vertical="center" wrapText="1"/>
    </xf>
    <xf numFmtId="60" fontId="1" fillId="24" borderId="31" applyNumberFormat="1" applyFont="1" applyFill="1" applyBorder="1" applyAlignment="1" applyProtection="0">
      <alignment horizontal="center" vertical="center"/>
    </xf>
    <xf numFmtId="0" fontId="13" fillId="4" borderId="118" applyNumberFormat="0" applyFont="1" applyFill="1" applyBorder="1" applyAlignment="1" applyProtection="0">
      <alignment horizontal="center" vertical="center"/>
    </xf>
    <xf numFmtId="0" fontId="15" fillId="10" borderId="103" applyNumberFormat="0" applyFont="1" applyFill="1" applyBorder="1" applyAlignment="1" applyProtection="0">
      <alignment horizontal="center" vertical="center"/>
    </xf>
    <xf numFmtId="49" fontId="13" fillId="7" borderId="34" applyNumberFormat="1" applyFont="1" applyFill="1" applyBorder="1" applyAlignment="1" applyProtection="0">
      <alignment horizontal="center" vertical="center"/>
    </xf>
    <xf numFmtId="60" fontId="13" fillId="7" borderId="34" applyNumberFormat="1" applyFont="1" applyFill="1" applyBorder="1" applyAlignment="1" applyProtection="0">
      <alignment horizontal="center" vertical="center"/>
    </xf>
    <xf numFmtId="0" fontId="13" fillId="4" borderId="119" applyNumberFormat="0" applyFont="1" applyFill="1" applyBorder="1" applyAlignment="1" applyProtection="0">
      <alignment horizontal="center" vertical="center"/>
    </xf>
    <xf numFmtId="0" fontId="15" fillId="10" borderId="55" applyNumberFormat="0" applyFont="1" applyFill="1" applyBorder="1" applyAlignment="1" applyProtection="0">
      <alignment horizontal="center" vertical="center" wrapText="1"/>
    </xf>
    <xf numFmtId="49" fontId="15" fillId="10" borderId="65" applyNumberFormat="1" applyFont="1" applyFill="1" applyBorder="1" applyAlignment="1" applyProtection="0">
      <alignment horizontal="center" vertical="center"/>
    </xf>
    <xf numFmtId="49" fontId="1" fillId="24" borderId="66" applyNumberFormat="1" applyFont="1" applyFill="1" applyBorder="1" applyAlignment="1" applyProtection="0">
      <alignment horizontal="center" vertical="center" wrapText="1"/>
    </xf>
    <xf numFmtId="60" fontId="1" fillId="24" borderId="66" applyNumberFormat="1" applyFont="1" applyFill="1" applyBorder="1" applyAlignment="1" applyProtection="0">
      <alignment horizontal="center" vertical="center"/>
    </xf>
    <xf numFmtId="0" fontId="13" fillId="4" borderId="41" applyNumberFormat="0" applyFont="1" applyFill="1" applyBorder="1" applyAlignment="1" applyProtection="0">
      <alignment horizontal="center" vertical="center"/>
    </xf>
    <xf numFmtId="60" fontId="7" borderId="50" applyNumberFormat="1" applyFont="1" applyFill="0" applyBorder="1" applyAlignment="1" applyProtection="0">
      <alignment vertical="bottom"/>
    </xf>
    <xf numFmtId="0" fontId="30" borderId="50" applyNumberFormat="0" applyFont="1" applyFill="0" applyBorder="1" applyAlignment="1" applyProtection="0">
      <alignment vertical="bottom"/>
    </xf>
    <xf numFmtId="0" fontId="31" borderId="4" applyNumberFormat="0" applyFont="1" applyFill="0" applyBorder="1" applyAlignment="1" applyProtection="0">
      <alignment vertical="bottom"/>
    </xf>
    <xf numFmtId="49" fontId="15" fillId="10" borderId="52" applyNumberFormat="1" applyFont="1" applyFill="1" applyBorder="1" applyAlignment="1" applyProtection="0">
      <alignment horizontal="center" vertical="center"/>
    </xf>
    <xf numFmtId="0" fontId="15" fillId="10" borderId="57" applyNumberFormat="0" applyFont="1" applyFill="1" applyBorder="1" applyAlignment="1" applyProtection="0">
      <alignment horizontal="center" vertical="center"/>
    </xf>
    <xf numFmtId="60" fontId="13" fillId="7" borderId="53" applyNumberFormat="1" applyFont="1" applyFill="1" applyBorder="1" applyAlignment="1" applyProtection="0">
      <alignment horizontal="center" vertical="center"/>
    </xf>
    <xf numFmtId="0" fontId="30" borderId="12" applyNumberFormat="0" applyFont="1" applyFill="0" applyBorder="1" applyAlignment="1" applyProtection="0">
      <alignment vertical="bottom"/>
    </xf>
    <xf numFmtId="49" fontId="15" fillId="10" borderId="30" applyNumberFormat="1" applyFont="1" applyFill="1" applyBorder="1" applyAlignment="1" applyProtection="0">
      <alignment horizontal="center" vertical="center"/>
    </xf>
    <xf numFmtId="0" fontId="15" fillId="10" borderId="31" applyNumberFormat="0" applyFont="1" applyFill="1" applyBorder="1" applyAlignment="1" applyProtection="0">
      <alignment horizontal="center" vertical="center"/>
    </xf>
    <xf numFmtId="60" fontId="13" fillId="7" borderId="32" applyNumberFormat="1" applyFont="1" applyFill="1" applyBorder="1" applyAlignment="1" applyProtection="0">
      <alignment horizontal="center" vertical="center"/>
    </xf>
    <xf numFmtId="49" fontId="15" fillId="10" borderId="33" applyNumberFormat="1" applyFont="1" applyFill="1" applyBorder="1" applyAlignment="1" applyProtection="0">
      <alignment horizontal="center" vertical="center"/>
    </xf>
    <xf numFmtId="0" fontId="15" fillId="10" borderId="34" applyNumberFormat="0" applyFont="1" applyFill="1" applyBorder="1" applyAlignment="1" applyProtection="0">
      <alignment horizontal="center" vertical="center"/>
    </xf>
    <xf numFmtId="60" fontId="13" fillId="7" borderId="35" applyNumberFormat="1" applyFont="1" applyFill="1" applyBorder="1" applyAlignment="1" applyProtection="0">
      <alignment horizontal="center" vertical="center"/>
    </xf>
    <xf numFmtId="0" fontId="30" borderId="4" applyNumberFormat="0" applyFont="1" applyFill="0" applyBorder="1" applyAlignment="1" applyProtection="0">
      <alignment vertical="bottom"/>
    </xf>
    <xf numFmtId="0" fontId="0" borderId="70" applyNumberFormat="0" applyFont="1" applyFill="0" applyBorder="1" applyAlignment="1" applyProtection="0">
      <alignment vertical="bottom"/>
    </xf>
    <xf numFmtId="0" fontId="0" applyNumberFormat="1" applyFont="1" applyFill="0" applyBorder="0" applyAlignment="1" applyProtection="0">
      <alignment vertical="bottom"/>
    </xf>
    <xf numFmtId="0" fontId="7" fillId="5" borderId="2" applyNumberFormat="0" applyFont="1" applyFill="1" applyBorder="1" applyAlignment="1" applyProtection="0">
      <alignment vertical="bottom"/>
    </xf>
    <xf numFmtId="0" fontId="7" fillId="5" borderId="4" applyNumberFormat="0" applyFont="1" applyFill="1" applyBorder="1" applyAlignment="1" applyProtection="0">
      <alignment vertical="bottom"/>
    </xf>
    <xf numFmtId="0" fontId="33" borderId="4" applyNumberFormat="0" applyFont="1" applyFill="0" applyBorder="1" applyAlignment="1" applyProtection="0">
      <alignment vertical="bottom"/>
    </xf>
    <xf numFmtId="0" fontId="7" fillId="5" borderId="16" applyNumberFormat="0" applyFont="1" applyFill="1" applyBorder="1" applyAlignment="1" applyProtection="0">
      <alignment vertical="bottom"/>
    </xf>
    <xf numFmtId="0" fontId="29" fillId="14" borderId="41" applyNumberFormat="0" applyFont="1" applyFill="1" applyBorder="1" applyAlignment="1" applyProtection="0">
      <alignment horizontal="center" vertical="center" wrapText="1"/>
    </xf>
    <xf numFmtId="0" fontId="29" fillId="4" borderId="23" applyNumberFormat="0" applyFont="1" applyFill="1" applyBorder="1" applyAlignment="1" applyProtection="0">
      <alignment horizontal="center" vertical="center" wrapText="1"/>
    </xf>
    <xf numFmtId="0" fontId="29" fillId="4" borderId="16" applyNumberFormat="0" applyFont="1" applyFill="1" applyBorder="1" applyAlignment="1" applyProtection="0">
      <alignment horizontal="center" vertical="center" wrapText="1"/>
    </xf>
    <xf numFmtId="0" fontId="29" fillId="4" borderId="17" applyNumberFormat="0" applyFont="1" applyFill="1" applyBorder="1" applyAlignment="1" applyProtection="0">
      <alignment horizontal="center" vertical="center" wrapText="1"/>
    </xf>
    <xf numFmtId="0" fontId="29" fillId="14" borderId="66" applyNumberFormat="0" applyFont="1" applyFill="1" applyBorder="1" applyAlignment="1" applyProtection="0">
      <alignment horizontal="center" vertical="center" wrapText="1"/>
    </xf>
    <xf numFmtId="49" fontId="29" fillId="9" borderId="31" applyNumberFormat="1" applyFont="1" applyFill="1" applyBorder="1" applyAlignment="1" applyProtection="0">
      <alignment horizontal="center" vertical="center" wrapText="1"/>
    </xf>
    <xf numFmtId="0" fontId="7" fillId="5" borderId="100" applyNumberFormat="0" applyFont="1" applyFill="1" applyBorder="1" applyAlignment="1" applyProtection="0">
      <alignment vertical="bottom"/>
    </xf>
    <xf numFmtId="0" fontId="0" fillId="5" borderId="4" applyNumberFormat="0" applyFont="1" applyFill="1" applyBorder="1" applyAlignment="1" applyProtection="0">
      <alignment vertical="bottom"/>
    </xf>
    <xf numFmtId="0" fontId="24" fillId="14" borderId="32" applyNumberFormat="0" applyFont="1" applyFill="1" applyBorder="1" applyAlignment="1" applyProtection="0">
      <alignment horizontal="center" vertical="center" wrapText="1"/>
    </xf>
    <xf numFmtId="0" fontId="24" fillId="14" borderId="23" applyNumberFormat="0" applyFont="1" applyFill="1" applyBorder="1" applyAlignment="1" applyProtection="0">
      <alignment horizontal="center" vertical="center" wrapText="1"/>
    </xf>
    <xf numFmtId="0" fontId="24" fillId="14" borderId="16" applyNumberFormat="0" applyFont="1" applyFill="1" applyBorder="1" applyAlignment="1" applyProtection="0">
      <alignment horizontal="center" vertical="center" wrapText="1"/>
    </xf>
    <xf numFmtId="0" fontId="24" fillId="14" borderId="17" applyNumberFormat="0" applyFont="1" applyFill="1" applyBorder="1" applyAlignment="1" applyProtection="0">
      <alignment horizontal="center" vertical="center" wrapText="1"/>
    </xf>
    <xf numFmtId="0" fontId="29" fillId="4" borderId="30" applyNumberFormat="0" applyFont="1" applyFill="1" applyBorder="1" applyAlignment="1" applyProtection="0">
      <alignment horizontal="center" vertical="center" wrapText="1"/>
    </xf>
    <xf numFmtId="0" fontId="29" fillId="4" borderId="31" applyNumberFormat="0" applyFont="1" applyFill="1" applyBorder="1" applyAlignment="1" applyProtection="0">
      <alignment horizontal="center" vertical="center" wrapText="1"/>
    </xf>
    <xf numFmtId="0" fontId="29" fillId="9" borderId="31" applyNumberFormat="0" applyFont="1" applyFill="1" applyBorder="1" applyAlignment="1" applyProtection="0">
      <alignment horizontal="center" vertical="center" wrapText="1"/>
    </xf>
    <xf numFmtId="49" fontId="7" borderId="4" applyNumberFormat="1" applyFont="1" applyFill="0" applyBorder="1" applyAlignment="1" applyProtection="0">
      <alignment vertical="bottom"/>
    </xf>
    <xf numFmtId="49" fontId="0" fillId="25" borderId="52" applyNumberFormat="1" applyFont="1" applyFill="1" applyBorder="1" applyAlignment="1" applyProtection="0">
      <alignment horizontal="center" vertical="center" wrapText="1"/>
    </xf>
    <xf numFmtId="2" fontId="0" fillId="4" borderId="31" applyNumberFormat="1" applyFont="1" applyFill="1" applyBorder="1" applyAlignment="1" applyProtection="0">
      <alignment horizontal="center" vertical="center" wrapText="1"/>
    </xf>
    <xf numFmtId="49" fontId="0" fillId="19" borderId="31" applyNumberFormat="1" applyFont="1" applyFill="1" applyBorder="1" applyAlignment="1" applyProtection="0">
      <alignment horizontal="center" vertical="center"/>
    </xf>
    <xf numFmtId="49" fontId="7" fillId="5" borderId="100" applyNumberFormat="1" applyFont="1" applyFill="1" applyBorder="1" applyAlignment="1" applyProtection="0">
      <alignment vertical="bottom"/>
    </xf>
    <xf numFmtId="49" fontId="0" fillId="25" borderId="30" applyNumberFormat="1" applyFont="1" applyFill="1" applyBorder="1" applyAlignment="1" applyProtection="0">
      <alignment horizontal="center" vertical="center" wrapText="1"/>
    </xf>
    <xf numFmtId="49" fontId="0" fillId="25" borderId="33" applyNumberFormat="1" applyFont="1" applyFill="1" applyBorder="1" applyAlignment="1" applyProtection="0">
      <alignment horizontal="center" vertical="center" wrapText="1"/>
    </xf>
    <xf numFmtId="0" fontId="0" fillId="5" borderId="34" applyNumberFormat="0" applyFont="1" applyFill="1" applyBorder="1" applyAlignment="1" applyProtection="0">
      <alignment horizontal="left" vertical="top" wrapText="1"/>
    </xf>
    <xf numFmtId="0" fontId="7" fillId="5" borderId="21" applyNumberFormat="0" applyFont="1" applyFill="1" applyBorder="1" applyAlignment="1" applyProtection="0">
      <alignment vertical="bottom"/>
    </xf>
    <xf numFmtId="49" fontId="29" fillId="14" borderId="39" applyNumberFormat="1" applyFont="1" applyFill="1" applyBorder="1" applyAlignment="1" applyProtection="0">
      <alignment horizontal="center" vertical="center" wrapText="1"/>
    </xf>
    <xf numFmtId="0" fontId="29" fillId="14" borderId="50" applyNumberFormat="0" applyFont="1" applyFill="1" applyBorder="1" applyAlignment="1" applyProtection="0">
      <alignment horizontal="center" vertical="center" wrapText="1"/>
    </xf>
    <xf numFmtId="0" fontId="29" fillId="14" borderId="93" applyNumberFormat="0" applyFont="1" applyFill="1" applyBorder="1" applyAlignment="1" applyProtection="0">
      <alignment horizontal="center" vertical="center" wrapText="1"/>
    </xf>
    <xf numFmtId="49" fontId="24" fillId="9" borderId="51" applyNumberFormat="1" applyFont="1" applyFill="1" applyBorder="1" applyAlignment="1" applyProtection="0">
      <alignment horizontal="center" vertical="center"/>
    </xf>
    <xf numFmtId="0" fontId="7" fillId="5" borderId="12" applyNumberFormat="0" applyFont="1" applyFill="1" applyBorder="1" applyAlignment="1" applyProtection="0">
      <alignment vertical="bottom"/>
    </xf>
    <xf numFmtId="0" fontId="24" fillId="14" borderId="30" applyNumberFormat="0" applyFont="1" applyFill="1" applyBorder="1" applyAlignment="1" applyProtection="0">
      <alignment horizontal="center" vertical="center" wrapText="1"/>
    </xf>
    <xf numFmtId="0" fontId="24" fillId="14" borderId="31" applyNumberFormat="0" applyFont="1" applyFill="1" applyBorder="1" applyAlignment="1" applyProtection="0">
      <alignment horizontal="center" vertical="center" wrapText="1"/>
    </xf>
    <xf numFmtId="0" fontId="29" fillId="4" borderId="32" applyNumberFormat="0" applyFont="1" applyFill="1" applyBorder="1" applyAlignment="1" applyProtection="0">
      <alignment horizontal="center" vertical="center" wrapText="1"/>
    </xf>
    <xf numFmtId="0" fontId="24" fillId="9" borderId="55" applyNumberFormat="0" applyFont="1" applyFill="1" applyBorder="1" applyAlignment="1" applyProtection="0">
      <alignment horizontal="center" vertical="center"/>
    </xf>
    <xf numFmtId="0" fontId="0" fillId="21" borderId="43" applyNumberFormat="0" applyFont="1" applyFill="1" applyBorder="1" applyAlignment="1" applyProtection="0">
      <alignment horizontal="center" vertical="center"/>
    </xf>
    <xf numFmtId="0" fontId="0" fillId="19" borderId="57" applyNumberFormat="0" applyFont="1" applyFill="1" applyBorder="1" applyAlignment="1" applyProtection="0">
      <alignment horizontal="center" vertical="center" wrapText="1"/>
    </xf>
    <xf numFmtId="49" fontId="0" fillId="19" borderId="45" applyNumberFormat="1" applyFont="1" applyFill="1" applyBorder="1" applyAlignment="1" applyProtection="0">
      <alignment horizontal="center" vertical="center"/>
    </xf>
    <xf numFmtId="49" fontId="0" fillId="19" borderId="46" applyNumberFormat="1" applyFont="1" applyFill="1" applyBorder="1" applyAlignment="1" applyProtection="0">
      <alignment horizontal="center" vertical="center"/>
    </xf>
    <xf numFmtId="49" fontId="0" fillId="19" borderId="49" applyNumberFormat="1" applyFont="1" applyFill="1" applyBorder="1" applyAlignment="1" applyProtection="0">
      <alignment horizontal="center" vertical="center"/>
    </xf>
    <xf numFmtId="0" fontId="7" fillId="5" borderId="5" applyNumberFormat="0" applyFont="1" applyFill="1" applyBorder="1" applyAlignment="1" applyProtection="0">
      <alignment vertical="bottom"/>
    </xf>
    <xf numFmtId="49" fontId="34" fillId="14" borderId="31" applyNumberFormat="1" applyFont="1" applyFill="1" applyBorder="1" applyAlignment="1" applyProtection="0">
      <alignment horizontal="center" vertical="center" wrapText="1"/>
    </xf>
    <xf numFmtId="0" fontId="0" borderId="106" applyNumberFormat="0" applyFont="1" applyFill="0" applyBorder="1" applyAlignment="1" applyProtection="0">
      <alignment vertical="bottom"/>
    </xf>
    <xf numFmtId="0" fontId="0" borderId="83" applyNumberFormat="0" applyFont="1" applyFill="0" applyBorder="1" applyAlignment="1" applyProtection="0">
      <alignment vertical="bottom"/>
    </xf>
    <xf numFmtId="0" fontId="34" fillId="14" borderId="31" applyNumberFormat="0" applyFont="1" applyFill="1" applyBorder="1" applyAlignment="1" applyProtection="0">
      <alignment horizontal="center" vertical="center" wrapText="1"/>
    </xf>
    <xf numFmtId="49" fontId="35" fillId="14" borderId="57" applyNumberFormat="1" applyFont="1" applyFill="1" applyBorder="1" applyAlignment="1" applyProtection="0">
      <alignment horizontal="center" vertical="center" wrapText="1"/>
    </xf>
    <xf numFmtId="0" fontId="35" fillId="4" borderId="57" applyNumberFormat="0" applyFont="1" applyFill="1" applyBorder="1" applyAlignment="1" applyProtection="0">
      <alignment horizontal="center" vertical="center" wrapText="1"/>
    </xf>
    <xf numFmtId="49" fontId="36" fillId="9" borderId="45" applyNumberFormat="1" applyFont="1" applyFill="1" applyBorder="1" applyAlignment="1" applyProtection="0">
      <alignment horizontal="center" vertical="center" wrapText="1"/>
    </xf>
    <xf numFmtId="49" fontId="0" fillId="15" borderId="57" applyNumberFormat="1" applyFont="1" applyFill="1" applyBorder="1" applyAlignment="1" applyProtection="0">
      <alignment horizontal="center" vertical="center"/>
    </xf>
    <xf numFmtId="49" fontId="31" borderId="54" applyNumberFormat="1" applyFont="1" applyFill="0" applyBorder="1" applyAlignment="1" applyProtection="0">
      <alignment horizontal="left" vertical="bottom"/>
    </xf>
    <xf numFmtId="49" fontId="0" fillId="15" borderId="31" applyNumberFormat="1" applyFont="1" applyFill="1" applyBorder="1" applyAlignment="1" applyProtection="0">
      <alignment horizontal="center" vertical="center"/>
    </xf>
    <xf numFmtId="49" fontId="0" fillId="15" borderId="34" applyNumberFormat="1" applyFont="1" applyFill="1" applyBorder="1" applyAlignment="1" applyProtection="0">
      <alignment horizontal="center" vertical="center"/>
    </xf>
    <xf numFmtId="49" fontId="15" fillId="9" borderId="65" applyNumberFormat="1" applyFont="1" applyFill="1" applyBorder="1" applyAlignment="1" applyProtection="0">
      <alignment horizontal="center" vertical="center"/>
    </xf>
    <xf numFmtId="49" fontId="15" fillId="9" borderId="66" applyNumberFormat="1" applyFont="1" applyFill="1" applyBorder="1" applyAlignment="1" applyProtection="0">
      <alignment horizontal="center" vertical="center"/>
    </xf>
    <xf numFmtId="49" fontId="15" fillId="10" borderId="45" applyNumberFormat="1" applyFont="1" applyFill="1" applyBorder="1" applyAlignment="1" applyProtection="0">
      <alignment horizontal="center" vertical="center"/>
    </xf>
    <xf numFmtId="49" fontId="1" fillId="15" borderId="57" applyNumberFormat="1" applyFont="1" applyFill="1" applyBorder="1" applyAlignment="1" applyProtection="0">
      <alignment horizontal="center" vertical="center"/>
    </xf>
    <xf numFmtId="60" fontId="1" fillId="15" borderId="57" applyNumberFormat="1" applyFont="1" applyFill="1" applyBorder="1" applyAlignment="1" applyProtection="0">
      <alignment horizontal="center" vertical="center"/>
    </xf>
    <xf numFmtId="0" fontId="15" fillId="10" borderId="46" applyNumberFormat="0" applyFont="1" applyFill="1" applyBorder="1" applyAlignment="1" applyProtection="0">
      <alignment horizontal="center" vertical="center"/>
    </xf>
    <xf numFmtId="0" fontId="15" fillId="10" borderId="30" applyNumberFormat="0" applyFont="1" applyFill="1" applyBorder="1" applyAlignment="1" applyProtection="0">
      <alignment horizontal="center" vertical="center"/>
    </xf>
    <xf numFmtId="60" fontId="1" fillId="15" borderId="31" applyNumberFormat="1" applyFont="1" applyFill="1" applyBorder="1" applyAlignment="1" applyProtection="0">
      <alignment horizontal="center" vertical="center"/>
    </xf>
    <xf numFmtId="0" fontId="15" fillId="10" borderId="33" applyNumberFormat="0" applyFont="1" applyFill="1" applyBorder="1" applyAlignment="1" applyProtection="0">
      <alignment horizontal="center" vertical="center"/>
    </xf>
    <xf numFmtId="0" fontId="15" fillId="10" borderId="49" applyNumberFormat="0" applyFont="1" applyFill="1" applyBorder="1" applyAlignment="1" applyProtection="0">
      <alignment horizontal="center" vertical="center"/>
    </xf>
    <xf numFmtId="49" fontId="1" fillId="15" borderId="66" applyNumberFormat="1" applyFont="1" applyFill="1" applyBorder="1" applyAlignment="1" applyProtection="0">
      <alignment horizontal="center" vertical="center"/>
    </xf>
    <xf numFmtId="60" fontId="1" fillId="15" borderId="66" applyNumberFormat="1" applyFont="1" applyFill="1" applyBorder="1" applyAlignment="1" applyProtection="0">
      <alignment horizontal="center" vertical="center"/>
    </xf>
    <xf numFmtId="0" fontId="15" fillId="10" borderId="57" applyNumberFormat="0" applyFont="1" applyFill="1" applyBorder="1" applyAlignment="1" applyProtection="0">
      <alignment horizontal="center" vertical="bottom"/>
    </xf>
    <xf numFmtId="0" fontId="7" fillId="5" borderId="69" applyNumberFormat="0" applyFont="1" applyFill="1" applyBorder="1" applyAlignment="1" applyProtection="0">
      <alignment vertical="bottom"/>
    </xf>
    <xf numFmtId="0" fontId="0" applyNumberFormat="1" applyFont="1" applyFill="0" applyBorder="0" applyAlignment="1" applyProtection="0">
      <alignment vertical="bottom"/>
    </xf>
    <xf numFmtId="0" fontId="1" fillId="4" borderId="12" applyNumberFormat="0" applyFont="1" applyFill="1" applyBorder="1" applyAlignment="1" applyProtection="0">
      <alignment vertical="bottom"/>
    </xf>
    <xf numFmtId="0" fontId="0" fillId="4" borderId="12" applyNumberFormat="0" applyFont="1" applyFill="1" applyBorder="1" applyAlignment="1" applyProtection="0">
      <alignment vertical="center" wrapText="1"/>
    </xf>
    <xf numFmtId="0" fontId="26" fillId="4" borderId="4" applyNumberFormat="0" applyFont="1" applyFill="1" applyBorder="1" applyAlignment="1" applyProtection="0">
      <alignment horizontal="center" vertical="bottom"/>
    </xf>
    <xf numFmtId="0" fontId="0" fillId="4" borderId="4" applyNumberFormat="0" applyFont="1" applyFill="1" applyBorder="1" applyAlignment="1" applyProtection="0">
      <alignment vertical="center" wrapText="1"/>
    </xf>
    <xf numFmtId="0" fontId="15" fillId="14" borderId="93" applyNumberFormat="0" applyFont="1" applyFill="1" applyBorder="1" applyAlignment="1" applyProtection="0">
      <alignment horizontal="center" vertical="center"/>
    </xf>
    <xf numFmtId="49" fontId="11" fillId="5" borderId="96" applyNumberFormat="1" applyFont="1" applyFill="1" applyBorder="1" applyAlignment="1" applyProtection="0">
      <alignment horizontal="center" vertical="center"/>
    </xf>
    <xf numFmtId="0" fontId="11" fillId="4" borderId="50" applyNumberFormat="0" applyFont="1" applyFill="1" applyBorder="1" applyAlignment="1" applyProtection="0">
      <alignment vertical="bottom"/>
    </xf>
    <xf numFmtId="0" fontId="19" fillId="4" borderId="5" applyNumberFormat="0" applyFont="1" applyFill="1" applyBorder="1" applyAlignment="1" applyProtection="0">
      <alignment vertical="center" wrapText="1"/>
    </xf>
    <xf numFmtId="49" fontId="11" fillId="26" borderId="92" applyNumberFormat="1" applyFont="1" applyFill="1" applyBorder="1" applyAlignment="1" applyProtection="0">
      <alignment horizontal="center" vertical="center"/>
    </xf>
    <xf numFmtId="0" fontId="11" fillId="26" borderId="40" applyNumberFormat="0" applyFont="1" applyFill="1" applyBorder="1" applyAlignment="1" applyProtection="0">
      <alignment horizontal="center" vertical="center"/>
    </xf>
    <xf numFmtId="0" fontId="1" fillId="4" borderId="120" applyNumberFormat="0" applyFont="1" applyFill="1" applyBorder="1" applyAlignment="1" applyProtection="0">
      <alignment vertical="center" wrapText="1"/>
    </xf>
    <xf numFmtId="0" fontId="9" fillId="26" borderId="66" applyNumberFormat="0" applyFont="1" applyFill="1" applyBorder="1" applyAlignment="1" applyProtection="0">
      <alignment vertical="center"/>
    </xf>
    <xf numFmtId="0" fontId="9" fillId="26" borderId="41" applyNumberFormat="0" applyFont="1" applyFill="1" applyBorder="1" applyAlignment="1" applyProtection="0">
      <alignment vertical="center"/>
    </xf>
    <xf numFmtId="0" fontId="1" fillId="4" borderId="4" applyNumberFormat="0" applyFont="1" applyFill="1" applyBorder="1" applyAlignment="1" applyProtection="0">
      <alignment vertical="center" wrapText="1"/>
    </xf>
    <xf numFmtId="0" fontId="19" fillId="4" borderId="10" applyNumberFormat="0" applyFont="1" applyFill="1" applyBorder="1" applyAlignment="1" applyProtection="0">
      <alignment vertical="center" wrapText="1"/>
    </xf>
    <xf numFmtId="49" fontId="11" fillId="5" borderId="39" applyNumberFormat="1" applyFont="1" applyFill="1" applyBorder="1" applyAlignment="1" applyProtection="0">
      <alignment horizontal="center" vertical="center"/>
    </xf>
    <xf numFmtId="0" fontId="11" fillId="5" borderId="93" applyNumberFormat="0" applyFont="1" applyFill="1" applyBorder="1" applyAlignment="1" applyProtection="0">
      <alignment horizontal="center" vertical="center"/>
    </xf>
    <xf numFmtId="0" fontId="0" fillId="4" borderId="4" applyNumberFormat="0" applyFont="1" applyFill="1" applyBorder="1" applyAlignment="1" applyProtection="0">
      <alignment vertical="center"/>
    </xf>
    <xf numFmtId="0" fontId="12" fillId="4" borderId="4" applyNumberFormat="0" applyFont="1" applyFill="1" applyBorder="1" applyAlignment="1" applyProtection="0">
      <alignment vertical="center"/>
    </xf>
    <xf numFmtId="0" fontId="10" fillId="4" borderId="50" applyNumberFormat="0" applyFont="1" applyFill="1" applyBorder="1" applyAlignment="1" applyProtection="0">
      <alignment horizontal="center" vertical="center" wrapText="1"/>
    </xf>
    <xf numFmtId="49" fontId="0" fillId="4" borderId="4" applyNumberFormat="1" applyFont="1" applyFill="1" applyBorder="1" applyAlignment="1" applyProtection="0">
      <alignment vertical="center" wrapText="1"/>
    </xf>
    <xf numFmtId="0" fontId="0" fillId="4" borderId="5" applyNumberFormat="0" applyFont="1" applyFill="1" applyBorder="1" applyAlignment="1" applyProtection="0">
      <alignment vertical="center"/>
    </xf>
    <xf numFmtId="49" fontId="17" fillId="10" borderId="53" applyNumberFormat="1" applyFont="1" applyFill="1" applyBorder="1" applyAlignment="1" applyProtection="0">
      <alignment horizontal="center" vertical="center" wrapText="1"/>
    </xf>
    <xf numFmtId="49" fontId="11" fillId="17" borderId="43" applyNumberFormat="1" applyFont="1" applyFill="1" applyBorder="1" applyAlignment="1" applyProtection="0">
      <alignment horizontal="center" vertical="center"/>
    </xf>
    <xf numFmtId="60" fontId="11" fillId="17" borderId="44" applyNumberFormat="1" applyFont="1" applyFill="1" applyBorder="1" applyAlignment="1" applyProtection="0">
      <alignment vertical="center"/>
    </xf>
    <xf numFmtId="60" fontId="11" fillId="5" borderId="105" applyNumberFormat="1" applyFont="1" applyFill="1" applyBorder="1" applyAlignment="1" applyProtection="0">
      <alignment vertical="center"/>
    </xf>
    <xf numFmtId="0" fontId="15" fillId="14" borderId="117" applyNumberFormat="0" applyFont="1" applyFill="1" applyBorder="1" applyAlignment="1" applyProtection="0">
      <alignment horizontal="center" vertical="center" wrapText="1"/>
    </xf>
    <xf numFmtId="49" fontId="17" fillId="10" borderId="32" applyNumberFormat="1" applyFont="1" applyFill="1" applyBorder="1" applyAlignment="1" applyProtection="0">
      <alignment horizontal="center" vertical="center" wrapText="1"/>
    </xf>
    <xf numFmtId="49" fontId="11" fillId="17" borderId="25" applyNumberFormat="1" applyFont="1" applyFill="1" applyBorder="1" applyAlignment="1" applyProtection="0">
      <alignment horizontal="center" vertical="center"/>
    </xf>
    <xf numFmtId="60" fontId="11" fillId="17" borderId="29" applyNumberFormat="1" applyFont="1" applyFill="1" applyBorder="1" applyAlignment="1" applyProtection="0">
      <alignment vertical="center"/>
    </xf>
    <xf numFmtId="60" fontId="11" fillId="5" borderId="28" applyNumberFormat="1" applyFont="1" applyFill="1" applyBorder="1" applyAlignment="1" applyProtection="0">
      <alignment vertical="center"/>
    </xf>
    <xf numFmtId="0" fontId="15" fillId="14" borderId="103" applyNumberFormat="0" applyFont="1" applyFill="1" applyBorder="1" applyAlignment="1" applyProtection="0">
      <alignment horizontal="center" vertical="center" wrapText="1"/>
    </xf>
    <xf numFmtId="49" fontId="17" fillId="10" borderId="35" applyNumberFormat="1" applyFont="1" applyFill="1" applyBorder="1" applyAlignment="1" applyProtection="0">
      <alignment horizontal="center" vertical="center" wrapText="1"/>
    </xf>
    <xf numFmtId="49" fontId="11" fillId="17" borderId="47" applyNumberFormat="1" applyFont="1" applyFill="1" applyBorder="1" applyAlignment="1" applyProtection="0">
      <alignment horizontal="center" vertical="center"/>
    </xf>
    <xf numFmtId="60" fontId="11" fillId="17" borderId="48" applyNumberFormat="1" applyFont="1" applyFill="1" applyBorder="1" applyAlignment="1" applyProtection="0">
      <alignment vertical="center"/>
    </xf>
    <xf numFmtId="60" fontId="11" fillId="5" borderId="101" applyNumberFormat="1" applyFont="1" applyFill="1" applyBorder="1" applyAlignment="1" applyProtection="0">
      <alignment vertical="center"/>
    </xf>
    <xf numFmtId="0" fontId="0" fillId="4" borderId="10" applyNumberFormat="0" applyFont="1" applyFill="1" applyBorder="1" applyAlignment="1" applyProtection="0">
      <alignment vertical="center"/>
    </xf>
    <xf numFmtId="60" fontId="11" fillId="17" borderId="43" applyNumberFormat="1" applyFont="1" applyFill="1" applyBorder="1" applyAlignment="1" applyProtection="0">
      <alignment horizontal="center" vertical="center"/>
    </xf>
    <xf numFmtId="60" fontId="0" fillId="4" borderId="12" applyNumberFormat="1" applyFont="1" applyFill="1" applyBorder="1" applyAlignment="1" applyProtection="0">
      <alignment vertical="center" wrapText="1"/>
    </xf>
    <xf numFmtId="60" fontId="11" fillId="17" borderId="25" applyNumberFormat="1" applyFont="1" applyFill="1" applyBorder="1" applyAlignment="1" applyProtection="0">
      <alignment horizontal="center" vertical="center"/>
    </xf>
    <xf numFmtId="60" fontId="11" fillId="17" borderId="47" applyNumberFormat="1" applyFont="1" applyFill="1" applyBorder="1" applyAlignment="1" applyProtection="0">
      <alignment horizontal="center" vertical="center"/>
    </xf>
    <xf numFmtId="60" fontId="11" fillId="8" borderId="43" applyNumberFormat="1" applyFont="1" applyFill="1" applyBorder="1" applyAlignment="1" applyProtection="0">
      <alignment horizontal="center" vertical="center" wrapText="1"/>
    </xf>
    <xf numFmtId="60" fontId="37" fillId="27" borderId="44" applyNumberFormat="1" applyFont="1" applyFill="1" applyBorder="1" applyAlignment="1" applyProtection="0">
      <alignment horizontal="center" vertical="center" wrapText="1"/>
    </xf>
    <xf numFmtId="10" fontId="38" fillId="4" borderId="12" applyNumberFormat="1" applyFont="1" applyFill="1" applyBorder="1" applyAlignment="1" applyProtection="0">
      <alignment horizontal="center" vertical="bottom"/>
    </xf>
    <xf numFmtId="60" fontId="11" fillId="5" borderId="25" applyNumberFormat="1" applyFont="1" applyFill="1" applyBorder="1" applyAlignment="1" applyProtection="0">
      <alignment horizontal="center" vertical="center" wrapText="1"/>
    </xf>
    <xf numFmtId="60" fontId="37" fillId="27" borderId="29" applyNumberFormat="1" applyFont="1" applyFill="1" applyBorder="1" applyAlignment="1" applyProtection="0">
      <alignment horizontal="center" vertical="center" wrapText="1"/>
    </xf>
    <xf numFmtId="60" fontId="11" fillId="5" borderId="47" applyNumberFormat="1" applyFont="1" applyFill="1" applyBorder="1" applyAlignment="1" applyProtection="0">
      <alignment horizontal="center" vertical="center" wrapText="1"/>
    </xf>
    <xf numFmtId="60" fontId="37" fillId="27" borderId="48" applyNumberFormat="1" applyFont="1" applyFill="1" applyBorder="1" applyAlignment="1" applyProtection="0">
      <alignment horizontal="center" vertical="center" wrapText="1"/>
    </xf>
    <xf numFmtId="0" fontId="2" fillId="4" borderId="50" applyNumberFormat="0" applyFont="1" applyFill="1" applyBorder="1" applyAlignment="1" applyProtection="0">
      <alignment vertical="bottom"/>
    </xf>
    <xf numFmtId="0" fontId="11" fillId="4" borderId="50" applyNumberFormat="0" applyFont="1" applyFill="1" applyBorder="1" applyAlignment="1" applyProtection="0">
      <alignment vertical="center"/>
    </xf>
    <xf numFmtId="49" fontId="11" fillId="5" borderId="43" applyNumberFormat="1" applyFont="1" applyFill="1" applyBorder="1" applyAlignment="1" applyProtection="0">
      <alignment horizontal="center" vertical="center" wrapText="1"/>
    </xf>
    <xf numFmtId="60" fontId="39" fillId="28" borderId="44" applyNumberFormat="1" applyFont="1" applyFill="1" applyBorder="1" applyAlignment="1" applyProtection="0">
      <alignment horizontal="center" vertical="center" wrapText="1"/>
    </xf>
    <xf numFmtId="0" fontId="15" fillId="14" borderId="30" applyNumberFormat="0" applyFont="1" applyFill="1" applyBorder="1" applyAlignment="1" applyProtection="0">
      <alignment horizontal="center" vertical="center" wrapText="1"/>
    </xf>
    <xf numFmtId="49" fontId="11" fillId="5" borderId="25" applyNumberFormat="1" applyFont="1" applyFill="1" applyBorder="1" applyAlignment="1" applyProtection="0">
      <alignment horizontal="center" vertical="center" wrapText="1"/>
    </xf>
    <xf numFmtId="60" fontId="39" fillId="28" borderId="29" applyNumberFormat="1" applyFont="1" applyFill="1" applyBorder="1" applyAlignment="1" applyProtection="0">
      <alignment horizontal="center" vertical="center" wrapText="1"/>
    </xf>
    <xf numFmtId="0" fontId="15" fillId="14" borderId="33" applyNumberFormat="0" applyFont="1" applyFill="1" applyBorder="1" applyAlignment="1" applyProtection="0">
      <alignment horizontal="center" vertical="center" wrapText="1"/>
    </xf>
    <xf numFmtId="49" fontId="11" fillId="5" borderId="47" applyNumberFormat="1" applyFont="1" applyFill="1" applyBorder="1" applyAlignment="1" applyProtection="0">
      <alignment horizontal="center" vertical="center" wrapText="1"/>
    </xf>
    <xf numFmtId="60" fontId="39" fillId="28" borderId="48" applyNumberFormat="1" applyFont="1" applyFill="1" applyBorder="1" applyAlignment="1" applyProtection="0">
      <alignment horizontal="center" vertical="center" wrapText="1"/>
    </xf>
    <xf numFmtId="0" fontId="15" fillId="14" borderId="57" applyNumberFormat="0" applyFont="1" applyFill="1" applyBorder="1" applyAlignment="1" applyProtection="0">
      <alignment horizontal="center" vertical="center"/>
    </xf>
    <xf numFmtId="60" fontId="11" fillId="17" borderId="57" applyNumberFormat="1" applyFont="1" applyFill="1" applyBorder="1" applyAlignment="1" applyProtection="0">
      <alignment horizontal="center" vertical="center"/>
    </xf>
    <xf numFmtId="60" fontId="11" fillId="17" borderId="53" applyNumberFormat="1" applyFont="1" applyFill="1" applyBorder="1" applyAlignment="1" applyProtection="0">
      <alignment horizontal="center" vertical="center"/>
    </xf>
    <xf numFmtId="49" fontId="15" fillId="14" borderId="30" applyNumberFormat="1" applyFont="1" applyFill="1" applyBorder="1" applyAlignment="1" applyProtection="0">
      <alignment horizontal="center" vertical="center"/>
    </xf>
    <xf numFmtId="0" fontId="15" fillId="14" borderId="31" applyNumberFormat="0" applyFont="1" applyFill="1" applyBorder="1" applyAlignment="1" applyProtection="0">
      <alignment horizontal="center" vertical="center"/>
    </xf>
    <xf numFmtId="60" fontId="11" fillId="17" borderId="31" applyNumberFormat="1" applyFont="1" applyFill="1" applyBorder="1" applyAlignment="1" applyProtection="0">
      <alignment horizontal="center" vertical="center"/>
    </xf>
    <xf numFmtId="60" fontId="11" fillId="17" borderId="32" applyNumberFormat="1" applyFont="1" applyFill="1" applyBorder="1" applyAlignment="1" applyProtection="0">
      <alignment horizontal="center" vertical="center"/>
    </xf>
    <xf numFmtId="0" fontId="26" fillId="4" borderId="4" applyNumberFormat="0" applyFont="1" applyFill="1" applyBorder="1" applyAlignment="1" applyProtection="0">
      <alignment vertical="center"/>
    </xf>
    <xf numFmtId="0" fontId="15" fillId="14" borderId="34" applyNumberFormat="0" applyFont="1" applyFill="1" applyBorder="1" applyAlignment="1" applyProtection="0">
      <alignment horizontal="center" vertical="center"/>
    </xf>
    <xf numFmtId="60" fontId="11" fillId="17" borderId="34" applyNumberFormat="1" applyFont="1" applyFill="1" applyBorder="1" applyAlignment="1" applyProtection="0">
      <alignment horizontal="center" vertical="center"/>
    </xf>
    <xf numFmtId="60" fontId="11" fillId="17" borderId="35" applyNumberFormat="1" applyFont="1" applyFill="1" applyBorder="1" applyAlignment="1" applyProtection="0">
      <alignment horizontal="center" vertical="center"/>
    </xf>
    <xf numFmtId="0" fontId="11" fillId="4" borderId="10" applyNumberFormat="0" applyFont="1" applyFill="1" applyBorder="1" applyAlignment="1" applyProtection="0">
      <alignment vertical="bottom"/>
    </xf>
    <xf numFmtId="0" fontId="16" fillId="4" borderId="4" applyNumberFormat="0" applyFont="1" applyFill="1" applyBorder="1" applyAlignment="1" applyProtection="0">
      <alignment vertical="center"/>
    </xf>
    <xf numFmtId="0" fontId="11" fillId="4" borderId="4" applyNumberFormat="0" applyFont="1" applyFill="1" applyBorder="1" applyAlignment="1" applyProtection="0">
      <alignment vertical="bottom"/>
    </xf>
    <xf numFmtId="49" fontId="16" fillId="4" borderId="4" applyNumberFormat="1" applyFont="1" applyFill="1" applyBorder="1" applyAlignment="1" applyProtection="0">
      <alignment vertical="center"/>
    </xf>
    <xf numFmtId="0" fontId="0" fillId="4" borderId="3" applyNumberFormat="0" applyFont="1" applyFill="1" applyBorder="1" applyAlignment="1" applyProtection="0">
      <alignment vertical="center"/>
    </xf>
    <xf numFmtId="0" fontId="38" fillId="4" borderId="4" applyNumberFormat="0" applyFont="1" applyFill="1" applyBorder="1" applyAlignment="1" applyProtection="0">
      <alignment vertical="center" wrapText="1"/>
    </xf>
    <xf numFmtId="49" fontId="0" fillId="4" borderId="5" applyNumberFormat="1" applyFont="1" applyFill="1" applyBorder="1" applyAlignment="1" applyProtection="0">
      <alignment vertical="bottom"/>
    </xf>
    <xf numFmtId="49" fontId="40" fillId="29" borderId="117" applyNumberFormat="1" applyFont="1" applyFill="1" applyBorder="1" applyAlignment="1" applyProtection="0">
      <alignment vertical="center" wrapText="1"/>
    </xf>
    <xf numFmtId="2" fontId="13" fillId="15" borderId="66" applyNumberFormat="1" applyFont="1" applyFill="1" applyBorder="1" applyAlignment="1" applyProtection="0">
      <alignment vertical="center" wrapText="1"/>
    </xf>
    <xf numFmtId="0" fontId="19" fillId="4" borderId="100" applyNumberFormat="0" applyFont="1" applyFill="1" applyBorder="1" applyAlignment="1" applyProtection="0">
      <alignment vertical="center" wrapText="1"/>
    </xf>
    <xf numFmtId="2" fontId="13" fillId="15" borderId="57" applyNumberFormat="1" applyFont="1" applyFill="1" applyBorder="1" applyAlignment="1" applyProtection="0">
      <alignment vertical="center" wrapText="1"/>
    </xf>
    <xf numFmtId="0" fontId="0" fillId="4" borderId="21" applyNumberFormat="0" applyFont="1" applyFill="1" applyBorder="1" applyAlignment="1" applyProtection="0">
      <alignment vertical="bottom"/>
    </xf>
    <xf numFmtId="0" fontId="11" fillId="4" borderId="21" applyNumberFormat="0" applyFont="1" applyFill="1" applyBorder="1" applyAlignment="1" applyProtection="0">
      <alignment vertical="bottom"/>
    </xf>
    <xf numFmtId="0" fontId="2" fillId="4" borderId="4" applyNumberFormat="0" applyFont="1" applyFill="1" applyBorder="1" applyAlignment="1" applyProtection="0">
      <alignment vertical="bottom"/>
    </xf>
    <xf numFmtId="2" fontId="0" fillId="4" borderId="4" applyNumberFormat="1" applyFont="1" applyFill="1" applyBorder="1" applyAlignment="1" applyProtection="0">
      <alignment vertical="center"/>
    </xf>
    <xf numFmtId="0" fontId="26" fillId="4" borderId="4" applyNumberFormat="0" applyFont="1" applyFill="1" applyBorder="1" applyAlignment="1" applyProtection="0">
      <alignment vertical="center" wrapText="1"/>
    </xf>
    <xf numFmtId="0" fontId="2" fillId="4" borderId="4" applyNumberFormat="0" applyFont="1" applyFill="1" applyBorder="1" applyAlignment="1" applyProtection="0">
      <alignment vertical="center" wrapText="1"/>
    </xf>
    <xf numFmtId="49" fontId="7" fillId="4" borderId="4" applyNumberFormat="1" applyFont="1" applyFill="1" applyBorder="1" applyAlignment="1" applyProtection="0">
      <alignment horizontal="center" vertical="bottom" wrapText="1"/>
    </xf>
    <xf numFmtId="62" fontId="7" fillId="4" borderId="4" applyNumberFormat="1" applyFont="1" applyFill="1" applyBorder="1" applyAlignment="1" applyProtection="0">
      <alignment vertical="bottom"/>
    </xf>
    <xf numFmtId="0" fontId="7" fillId="4" borderId="4" applyNumberFormat="0" applyFont="1" applyFill="1" applyBorder="1" applyAlignment="1" applyProtection="0">
      <alignment horizontal="center" vertical="bottom" wrapText="1"/>
    </xf>
    <xf numFmtId="0" fontId="7" fillId="4" borderId="4" applyNumberFormat="0" applyFont="1" applyFill="1" applyBorder="1" applyAlignment="1" applyProtection="0">
      <alignment vertical="bottom"/>
    </xf>
    <xf numFmtId="0" fontId="0" fillId="4" borderId="4" applyNumberFormat="0" applyFont="1" applyFill="1" applyBorder="1" applyAlignment="1" applyProtection="0">
      <alignment horizontal="center" vertical="bottom" wrapText="1"/>
    </xf>
    <xf numFmtId="0" fontId="0" fillId="5" borderId="56" applyNumberFormat="0" applyFont="1" applyFill="1" applyBorder="1" applyAlignment="1" applyProtection="0">
      <alignment vertical="bottom"/>
    </xf>
    <xf numFmtId="0" fontId="0" fillId="5" borderId="36" applyNumberFormat="0" applyFont="1" applyFill="1" applyBorder="1" applyAlignment="1" applyProtection="0">
      <alignment vertical="bottom"/>
    </xf>
    <xf numFmtId="0" fontId="0" applyNumberFormat="1" applyFont="1" applyFill="0" applyBorder="0" applyAlignment="1" applyProtection="0">
      <alignment vertical="bottom"/>
    </xf>
    <xf numFmtId="0" fontId="0" fillId="4" borderId="121" applyNumberFormat="0" applyFont="1" applyFill="1" applyBorder="1" applyAlignment="1" applyProtection="0">
      <alignment vertical="bottom"/>
    </xf>
    <xf numFmtId="49" fontId="24" fillId="9" borderId="39" applyNumberFormat="1" applyFont="1" applyFill="1" applyBorder="1" applyAlignment="1" applyProtection="0">
      <alignment horizontal="center" vertical="center"/>
    </xf>
    <xf numFmtId="0" fontId="24" fillId="9" borderId="50" applyNumberFormat="0" applyFont="1" applyFill="1" applyBorder="1" applyAlignment="1" applyProtection="0">
      <alignment horizontal="center" vertical="center"/>
    </xf>
    <xf numFmtId="0" fontId="35" fillId="4" borderId="122" applyNumberFormat="1" applyFont="1" applyFill="1" applyBorder="1" applyAlignment="1" applyProtection="0">
      <alignment horizontal="center" vertical="center"/>
    </xf>
    <xf numFmtId="0" fontId="0" fillId="4" borderId="123" applyNumberFormat="0" applyFont="1" applyFill="1" applyBorder="1" applyAlignment="1" applyProtection="0">
      <alignment vertical="bottom"/>
    </xf>
    <xf numFmtId="49" fontId="10" fillId="30" borderId="57" applyNumberFormat="1" applyFont="1" applyFill="1" applyBorder="1" applyAlignment="1" applyProtection="0">
      <alignment horizontal="center" vertical="center" wrapText="1"/>
    </xf>
    <xf numFmtId="49" fontId="11" fillId="30" borderId="57" applyNumberFormat="1" applyFont="1" applyFill="1" applyBorder="1" applyAlignment="1" applyProtection="0">
      <alignment horizontal="center" vertical="bottom"/>
    </xf>
    <xf numFmtId="0" fontId="11" fillId="30" borderId="57" applyNumberFormat="0" applyFont="1" applyFill="1" applyBorder="1" applyAlignment="1" applyProtection="0">
      <alignment horizontal="center" vertical="bottom"/>
    </xf>
    <xf numFmtId="49" fontId="11" fillId="31" borderId="57" applyNumberFormat="1" applyFont="1" applyFill="1" applyBorder="1" applyAlignment="1" applyProtection="0">
      <alignment horizontal="center" vertical="center"/>
    </xf>
    <xf numFmtId="0" fontId="11" fillId="31" borderId="57" applyNumberFormat="0" applyFont="1" applyFill="1" applyBorder="1" applyAlignment="1" applyProtection="0">
      <alignment horizontal="center" vertical="center"/>
    </xf>
    <xf numFmtId="49" fontId="11" fillId="32" borderId="57" applyNumberFormat="1" applyFont="1" applyFill="1" applyBorder="1" applyAlignment="1" applyProtection="0">
      <alignment horizontal="center" vertical="bottom"/>
    </xf>
    <xf numFmtId="0" fontId="11" fillId="32" borderId="57" applyNumberFormat="0" applyFont="1" applyFill="1" applyBorder="1" applyAlignment="1" applyProtection="0">
      <alignment horizontal="center" vertical="bottom"/>
    </xf>
    <xf numFmtId="49" fontId="11" fillId="33" borderId="31" applyNumberFormat="1" applyFont="1" applyFill="1" applyBorder="1" applyAlignment="1" applyProtection="0">
      <alignment horizontal="center" vertical="bottom"/>
    </xf>
    <xf numFmtId="0" fontId="0" fillId="4" borderId="100" applyNumberFormat="0" applyFont="1" applyFill="1" applyBorder="1" applyAlignment="1" applyProtection="0">
      <alignment vertical="bottom"/>
    </xf>
    <xf numFmtId="0" fontId="10" fillId="30" borderId="31" applyNumberFormat="0" applyFont="1" applyFill="1" applyBorder="1" applyAlignment="1" applyProtection="0">
      <alignment horizontal="center" vertical="center" wrapText="1"/>
    </xf>
    <xf numFmtId="49" fontId="10" fillId="30" borderId="31" applyNumberFormat="1" applyFont="1" applyFill="1" applyBorder="1" applyAlignment="1" applyProtection="0">
      <alignment horizontal="center" vertical="center" wrapText="1"/>
    </xf>
    <xf numFmtId="49" fontId="10" fillId="31" borderId="31" applyNumberFormat="1" applyFont="1" applyFill="1" applyBorder="1" applyAlignment="1" applyProtection="0">
      <alignment horizontal="center" vertical="center" wrapText="1"/>
    </xf>
    <xf numFmtId="49" fontId="10" fillId="32" borderId="31" applyNumberFormat="1" applyFont="1" applyFill="1" applyBorder="1" applyAlignment="1" applyProtection="0">
      <alignment horizontal="center" vertical="center" wrapText="1"/>
    </xf>
    <xf numFmtId="49" fontId="10" fillId="33" borderId="31" applyNumberFormat="1" applyFont="1" applyFill="1" applyBorder="1" applyAlignment="1" applyProtection="0">
      <alignment horizontal="center" vertical="center" wrapText="1"/>
    </xf>
    <xf numFmtId="0" fontId="0" fillId="5" borderId="31" applyNumberFormat="1" applyFont="1" applyFill="1" applyBorder="1" applyAlignment="1" applyProtection="0">
      <alignment horizontal="center" vertical="center"/>
    </xf>
    <xf numFmtId="49" fontId="0" fillId="5" borderId="31" applyNumberFormat="1" applyFont="1" applyFill="1" applyBorder="1" applyAlignment="1" applyProtection="0">
      <alignment horizontal="center" vertical="center"/>
    </xf>
    <xf numFmtId="49" fontId="0" fillId="5" borderId="31" applyNumberFormat="1" applyFont="1" applyFill="1" applyBorder="1" applyAlignment="1" applyProtection="0">
      <alignment vertical="center"/>
    </xf>
    <xf numFmtId="0" fontId="0" fillId="5" borderId="31" applyNumberFormat="0" applyFont="1" applyFill="1" applyBorder="1" applyAlignment="1" applyProtection="0">
      <alignment horizontal="center" vertical="center"/>
    </xf>
    <xf numFmtId="49" fontId="0" fillId="5" borderId="31" applyNumberFormat="1" applyFont="1" applyFill="1" applyBorder="1" applyAlignment="1" applyProtection="0">
      <alignment vertical="center" wrapText="1"/>
    </xf>
    <xf numFmtId="49" fontId="0" fillId="5" borderId="31" applyNumberFormat="1" applyFont="1" applyFill="1" applyBorder="1" applyAlignment="1" applyProtection="0">
      <alignment horizontal="center" vertical="center" wrapText="1"/>
    </xf>
    <xf numFmtId="0" fontId="0" fillId="5" borderId="34" applyNumberFormat="1" applyFont="1" applyFill="1" applyBorder="1" applyAlignment="1" applyProtection="0">
      <alignment horizontal="center" vertical="center"/>
    </xf>
    <xf numFmtId="49" fontId="0" fillId="5" borderId="34" applyNumberFormat="1" applyFont="1" applyFill="1" applyBorder="1" applyAlignment="1" applyProtection="0">
      <alignment horizontal="center" vertical="center"/>
    </xf>
    <xf numFmtId="49" fontId="0" fillId="5" borderId="34" applyNumberFormat="1" applyFont="1" applyFill="1" applyBorder="1" applyAlignment="1" applyProtection="0">
      <alignment vertical="center" wrapText="1"/>
    </xf>
    <xf numFmtId="49" fontId="0" fillId="5" borderId="34" applyNumberFormat="1" applyFont="1" applyFill="1" applyBorder="1" applyAlignment="1" applyProtection="0">
      <alignment horizontal="center" vertical="center" wrapText="1"/>
    </xf>
    <xf numFmtId="0" fontId="0" fillId="5" borderId="57" applyNumberFormat="1" applyFont="1" applyFill="1" applyBorder="1" applyAlignment="1" applyProtection="0">
      <alignment horizontal="center" vertical="center"/>
    </xf>
    <xf numFmtId="49" fontId="0" fillId="5" borderId="57" applyNumberFormat="1" applyFont="1" applyFill="1" applyBorder="1" applyAlignment="1" applyProtection="0">
      <alignment horizontal="center" vertical="center"/>
    </xf>
    <xf numFmtId="49" fontId="0" fillId="5" borderId="57" applyNumberFormat="1" applyFont="1" applyFill="1" applyBorder="1" applyAlignment="1" applyProtection="0">
      <alignment vertical="center"/>
    </xf>
    <xf numFmtId="0" fontId="0" fillId="5" borderId="57" applyNumberFormat="0" applyFont="1" applyFill="1" applyBorder="1" applyAlignment="1" applyProtection="0">
      <alignment horizontal="center" vertical="center"/>
    </xf>
    <xf numFmtId="49" fontId="0" fillId="5" borderId="57" applyNumberFormat="1" applyFont="1" applyFill="1" applyBorder="1" applyAlignment="1" applyProtection="0">
      <alignment vertical="center" wrapText="1"/>
    </xf>
    <xf numFmtId="49" fontId="0" fillId="5" borderId="34" applyNumberFormat="1" applyFont="1" applyFill="1" applyBorder="1" applyAlignment="1" applyProtection="0">
      <alignment vertical="center"/>
    </xf>
    <xf numFmtId="0" fontId="0" fillId="5" borderId="57" applyNumberFormat="0" applyFont="1" applyFill="1" applyBorder="1" applyAlignment="1" applyProtection="0">
      <alignment vertical="center"/>
    </xf>
    <xf numFmtId="0" fontId="0" borderId="57" applyNumberFormat="0" applyFont="1" applyFill="0" applyBorder="1" applyAlignment="1" applyProtection="0">
      <alignment vertical="bottom"/>
    </xf>
    <xf numFmtId="0" fontId="0" fillId="5" borderId="57" applyNumberFormat="0" applyFont="1" applyFill="1" applyBorder="1" applyAlignment="1" applyProtection="0">
      <alignment vertical="center" wrapText="1"/>
    </xf>
    <xf numFmtId="0" fontId="0" borderId="31" applyNumberFormat="0" applyFont="1" applyFill="0" applyBorder="1" applyAlignment="1" applyProtection="0">
      <alignment vertical="bottom"/>
    </xf>
    <xf numFmtId="0" fontId="0" fillId="5" borderId="31" applyNumberFormat="0" applyFont="1" applyFill="1" applyBorder="1" applyAlignment="1" applyProtection="0">
      <alignment vertical="center"/>
    </xf>
    <xf numFmtId="0" fontId="0" fillId="5" borderId="31" applyNumberFormat="0" applyFont="1" applyFill="1" applyBorder="1" applyAlignment="1" applyProtection="0">
      <alignment vertical="center" wrapText="1"/>
    </xf>
    <xf numFmtId="0" fontId="0" borderId="124" applyNumberFormat="0" applyFont="1" applyFill="0" applyBorder="1" applyAlignment="1" applyProtection="0">
      <alignment vertical="bottom"/>
    </xf>
    <xf numFmtId="0" fontId="0" fillId="5" borderId="125" applyNumberFormat="0" applyFont="1" applyFill="1" applyBorder="1" applyAlignment="1" applyProtection="0">
      <alignment vertical="center"/>
    </xf>
    <xf numFmtId="0" fontId="0" borderId="125" applyNumberFormat="0" applyFont="1" applyFill="0" applyBorder="1" applyAlignment="1" applyProtection="0">
      <alignment vertical="bottom"/>
    </xf>
    <xf numFmtId="0" fontId="0" fillId="5" borderId="125" applyNumberFormat="0" applyFont="1" applyFill="1" applyBorder="1" applyAlignment="1" applyProtection="0">
      <alignment vertical="center" wrapText="1"/>
    </xf>
    <xf numFmtId="0" fontId="0" borderId="126" applyNumberFormat="0" applyFont="1" applyFill="0" applyBorder="1" applyAlignment="1" applyProtection="0">
      <alignment vertical="bottom"/>
    </xf>
    <xf numFmtId="0" fontId="0" fillId="4" borderId="21" applyNumberFormat="0" applyFont="1" applyFill="1" applyBorder="1" applyAlignment="1" applyProtection="0">
      <alignment vertical="bottom" wrapText="1"/>
    </xf>
    <xf numFmtId="0" fontId="0" fillId="4" borderId="69" applyNumberFormat="0" applyFont="1" applyFill="1" applyBorder="1" applyAlignment="1" applyProtection="0">
      <alignment vertical="center"/>
    </xf>
    <xf numFmtId="0" fontId="0" fillId="4" borderId="69" applyNumberFormat="0" applyFont="1" applyFill="1" applyBorder="1" applyAlignment="1" applyProtection="0">
      <alignment vertical="center" wrapText="1"/>
    </xf>
    <xf numFmtId="0" fontId="0" fillId="4" applyNumberFormat="1" applyFont="1" applyFill="1" applyBorder="0" applyAlignment="1" applyProtection="0">
      <alignment vertical="bottom"/>
    </xf>
    <xf numFmtId="49" fontId="24" fillId="9" borderId="82" applyNumberFormat="1" applyFont="1" applyFill="1" applyBorder="1" applyAlignment="1" applyProtection="0">
      <alignment horizontal="center" vertical="center"/>
    </xf>
    <xf numFmtId="0" fontId="24" fillId="9" borderId="10" applyNumberFormat="0" applyFont="1" applyFill="1" applyBorder="1" applyAlignment="1" applyProtection="0">
      <alignment horizontal="center" vertical="center"/>
    </xf>
    <xf numFmtId="0" fontId="24" fillId="9" borderId="11" applyNumberFormat="0" applyFont="1" applyFill="1" applyBorder="1" applyAlignment="1" applyProtection="0">
      <alignment horizontal="center" vertical="center"/>
    </xf>
    <xf numFmtId="0" fontId="24" fillId="9" borderId="83" applyNumberFormat="0" applyFont="1" applyFill="1" applyBorder="1" applyAlignment="1" applyProtection="0">
      <alignment horizontal="center" vertical="center"/>
    </xf>
    <xf numFmtId="0" fontId="24" fillId="9" borderId="5" applyNumberFormat="0" applyFont="1" applyFill="1" applyBorder="1" applyAlignment="1" applyProtection="0">
      <alignment horizontal="center" vertical="center"/>
    </xf>
    <xf numFmtId="0" fontId="24" fillId="9" borderId="84" applyNumberFormat="0" applyFont="1" applyFill="1" applyBorder="1" applyAlignment="1" applyProtection="0">
      <alignment horizontal="center" vertical="center"/>
    </xf>
    <xf numFmtId="49" fontId="10" fillId="30" borderId="45" applyNumberFormat="1" applyFont="1" applyFill="1" applyBorder="1" applyAlignment="1" applyProtection="0">
      <alignment horizontal="center" vertical="center" wrapText="1"/>
    </xf>
    <xf numFmtId="49" fontId="11" fillId="19" borderId="52" applyNumberFormat="1" applyFont="1" applyFill="1" applyBorder="1" applyAlignment="1" applyProtection="0">
      <alignment horizontal="center" vertical="center"/>
    </xf>
    <xf numFmtId="0" fontId="11" fillId="19" borderId="57" applyNumberFormat="0" applyFont="1" applyFill="1" applyBorder="1" applyAlignment="1" applyProtection="0">
      <alignment horizontal="center" vertical="center"/>
    </xf>
    <xf numFmtId="0" fontId="11" fillId="19" borderId="53" applyNumberFormat="0" applyFont="1" applyFill="1" applyBorder="1" applyAlignment="1" applyProtection="0">
      <alignment horizontal="center" vertical="center"/>
    </xf>
    <xf numFmtId="49" fontId="11" fillId="34" borderId="43" applyNumberFormat="1" applyFont="1" applyFill="1" applyBorder="1" applyAlignment="1" applyProtection="0">
      <alignment horizontal="center" vertical="center"/>
    </xf>
    <xf numFmtId="0" fontId="11" fillId="34" borderId="105" applyNumberFormat="0" applyFont="1" applyFill="1" applyBorder="1" applyAlignment="1" applyProtection="0">
      <alignment horizontal="center" vertical="center"/>
    </xf>
    <xf numFmtId="0" fontId="11" fillId="34" borderId="44" applyNumberFormat="0" applyFont="1" applyFill="1" applyBorder="1" applyAlignment="1" applyProtection="0">
      <alignment horizontal="center" vertical="center"/>
    </xf>
    <xf numFmtId="49" fontId="10" fillId="35" borderId="45" applyNumberFormat="1" applyFont="1" applyFill="1" applyBorder="1" applyAlignment="1" applyProtection="0">
      <alignment horizontal="center" vertical="center" wrapText="1"/>
    </xf>
    <xf numFmtId="0" fontId="10" fillId="30" borderId="46" applyNumberFormat="0" applyFont="1" applyFill="1" applyBorder="1" applyAlignment="1" applyProtection="0">
      <alignment horizontal="center" vertical="center" wrapText="1"/>
    </xf>
    <xf numFmtId="49" fontId="10" fillId="19" borderId="30" applyNumberFormat="1" applyFont="1" applyFill="1" applyBorder="1" applyAlignment="1" applyProtection="0">
      <alignment horizontal="center" vertical="center" wrapText="1"/>
    </xf>
    <xf numFmtId="49" fontId="10" fillId="19" borderId="31" applyNumberFormat="1" applyFont="1" applyFill="1" applyBorder="1" applyAlignment="1" applyProtection="0">
      <alignment horizontal="center" vertical="center" wrapText="1"/>
    </xf>
    <xf numFmtId="49" fontId="10" fillId="19" borderId="32" applyNumberFormat="1" applyFont="1" applyFill="1" applyBorder="1" applyAlignment="1" applyProtection="0">
      <alignment horizontal="center" vertical="center" wrapText="1"/>
    </xf>
    <xf numFmtId="49" fontId="10" fillId="34" borderId="30" applyNumberFormat="1" applyFont="1" applyFill="1" applyBorder="1" applyAlignment="1" applyProtection="0">
      <alignment horizontal="center" vertical="center" wrapText="1"/>
    </xf>
    <xf numFmtId="49" fontId="10" fillId="34" borderId="31" applyNumberFormat="1" applyFont="1" applyFill="1" applyBorder="1" applyAlignment="1" applyProtection="0">
      <alignment horizontal="center" vertical="center" wrapText="1"/>
    </xf>
    <xf numFmtId="49" fontId="10" fillId="34" borderId="32" applyNumberFormat="1" applyFont="1" applyFill="1" applyBorder="1" applyAlignment="1" applyProtection="0">
      <alignment horizontal="center" vertical="center" wrapText="1"/>
    </xf>
    <xf numFmtId="0" fontId="10" fillId="35" borderId="46" applyNumberFormat="0" applyFont="1" applyFill="1" applyBorder="1" applyAlignment="1" applyProtection="0">
      <alignment horizontal="center" vertical="center" wrapText="1"/>
    </xf>
    <xf numFmtId="0" fontId="10" fillId="30" borderId="49" applyNumberFormat="0" applyFont="1" applyFill="1" applyBorder="1" applyAlignment="1" applyProtection="0">
      <alignment horizontal="center" vertical="center" wrapText="1"/>
    </xf>
    <xf numFmtId="0" fontId="10" fillId="19" borderId="33" applyNumberFormat="0" applyFont="1" applyFill="1" applyBorder="1" applyAlignment="1" applyProtection="0">
      <alignment horizontal="center" vertical="center" wrapText="1"/>
    </xf>
    <xf numFmtId="0" fontId="10" fillId="19" borderId="34" applyNumberFormat="0" applyFont="1" applyFill="1" applyBorder="1" applyAlignment="1" applyProtection="0">
      <alignment horizontal="center" vertical="center" wrapText="1"/>
    </xf>
    <xf numFmtId="0" fontId="10" fillId="19" borderId="35" applyNumberFormat="0" applyFont="1" applyFill="1" applyBorder="1" applyAlignment="1" applyProtection="0">
      <alignment horizontal="center" vertical="center" wrapText="1"/>
    </xf>
    <xf numFmtId="49" fontId="10" fillId="34" borderId="33" applyNumberFormat="1" applyFont="1" applyFill="1" applyBorder="1" applyAlignment="1" applyProtection="0">
      <alignment horizontal="center" vertical="center" wrapText="1"/>
    </xf>
    <xf numFmtId="49" fontId="10" fillId="34" borderId="34" applyNumberFormat="1" applyFont="1" applyFill="1" applyBorder="1" applyAlignment="1" applyProtection="0">
      <alignment horizontal="center" vertical="center" wrapText="1"/>
    </xf>
    <xf numFmtId="0" fontId="10" fillId="34" borderId="34" applyNumberFormat="0" applyFont="1" applyFill="1" applyBorder="1" applyAlignment="1" applyProtection="0">
      <alignment horizontal="center" vertical="center" wrapText="1"/>
    </xf>
    <xf numFmtId="0" fontId="10" fillId="34" borderId="35" applyNumberFormat="0" applyFont="1" applyFill="1" applyBorder="1" applyAlignment="1" applyProtection="0">
      <alignment horizontal="center" vertical="center" wrapText="1"/>
    </xf>
    <xf numFmtId="0" fontId="10" fillId="35" borderId="49" applyNumberFormat="0" applyFont="1" applyFill="1" applyBorder="1" applyAlignment="1" applyProtection="0">
      <alignment horizontal="center" vertical="center" wrapText="1"/>
    </xf>
    <xf numFmtId="49" fontId="0" fillId="5" borderId="45" applyNumberFormat="1" applyFont="1" applyFill="1" applyBorder="1" applyAlignment="1" applyProtection="0">
      <alignment horizontal="center" vertical="center"/>
    </xf>
    <xf numFmtId="0" fontId="0" fillId="5" borderId="53" applyNumberFormat="1" applyFont="1" applyFill="1" applyBorder="1" applyAlignment="1" applyProtection="0">
      <alignment horizontal="center" vertical="center"/>
    </xf>
    <xf numFmtId="49" fontId="0" fillId="5" borderId="46" applyNumberFormat="1" applyFont="1" applyFill="1" applyBorder="1" applyAlignment="1" applyProtection="0">
      <alignment horizontal="center" vertical="center"/>
    </xf>
    <xf numFmtId="0" fontId="0" fillId="5" borderId="32" applyNumberFormat="1" applyFont="1" applyFill="1" applyBorder="1" applyAlignment="1" applyProtection="0">
      <alignment horizontal="center" vertical="center"/>
    </xf>
    <xf numFmtId="49" fontId="0" fillId="5" borderId="32" applyNumberFormat="1" applyFont="1" applyFill="1" applyBorder="1" applyAlignment="1" applyProtection="0">
      <alignment horizontal="center" vertical="center"/>
    </xf>
    <xf numFmtId="0" fontId="0" fillId="5" borderId="30" applyNumberFormat="1" applyFont="1" applyFill="1" applyBorder="1" applyAlignment="1" applyProtection="0">
      <alignment horizontal="center" vertical="center"/>
    </xf>
    <xf numFmtId="0" fontId="0" fillId="5" borderId="32" applyNumberFormat="1" applyFont="1" applyFill="1" applyBorder="1" applyAlignment="1" applyProtection="0">
      <alignment horizontal="center" vertical="center" wrapText="1"/>
    </xf>
    <xf numFmtId="0" fontId="0" fillId="5" borderId="46" applyNumberFormat="0" applyFont="1" applyFill="1" applyBorder="1" applyAlignment="1" applyProtection="0">
      <alignment horizontal="center" vertical="center"/>
    </xf>
    <xf numFmtId="0" fontId="0" fillId="5" borderId="32" applyNumberFormat="0" applyFont="1" applyFill="1" applyBorder="1" applyAlignment="1" applyProtection="0">
      <alignment horizontal="center" vertical="center"/>
    </xf>
    <xf numFmtId="0" fontId="0" fillId="4" borderId="127" applyNumberFormat="0" applyFont="1" applyFill="1" applyBorder="1" applyAlignment="1" applyProtection="0">
      <alignment vertical="bottom"/>
    </xf>
    <xf numFmtId="0" fontId="0" fillId="5" borderId="49" applyNumberFormat="0" applyFont="1" applyFill="1" applyBorder="1" applyAlignment="1" applyProtection="0">
      <alignment horizontal="center" vertical="center"/>
    </xf>
    <xf numFmtId="0" fontId="0" fillId="4" applyNumberFormat="1" applyFont="1" applyFill="1" applyBorder="0" applyAlignment="1" applyProtection="0">
      <alignment vertical="bottom"/>
    </xf>
    <xf numFmtId="49" fontId="29" fillId="14" borderId="128" applyNumberFormat="1" applyFont="1" applyFill="1" applyBorder="1" applyAlignment="1" applyProtection="0">
      <alignment horizontal="center" vertical="center"/>
    </xf>
    <xf numFmtId="0" fontId="0" fillId="4" borderId="129" applyNumberFormat="0" applyFont="1" applyFill="1" applyBorder="1" applyAlignment="1" applyProtection="0">
      <alignment vertical="bottom"/>
    </xf>
    <xf numFmtId="0" fontId="0" fillId="4" borderId="130" applyNumberFormat="0" applyFont="1" applyFill="1" applyBorder="1" applyAlignment="1" applyProtection="0">
      <alignment vertical="bottom"/>
    </xf>
    <xf numFmtId="0" fontId="0" fillId="4" borderId="131" applyNumberFormat="0" applyFont="1" applyFill="1" applyBorder="1" applyAlignment="1" applyProtection="0">
      <alignment vertical="bottom"/>
    </xf>
    <xf numFmtId="49" fontId="0" fillId="5" borderId="132" applyNumberFormat="1" applyFont="1" applyFill="1" applyBorder="1" applyAlignment="1" applyProtection="0">
      <alignment vertical="bottom"/>
    </xf>
    <xf numFmtId="0" fontId="0" fillId="4" borderId="133" applyNumberFormat="0" applyFont="1" applyFill="1" applyBorder="1" applyAlignment="1" applyProtection="0">
      <alignment vertical="bottom"/>
    </xf>
    <xf numFmtId="49" fontId="0" fillId="5" borderId="31" applyNumberFormat="1" applyFont="1" applyFill="1" applyBorder="1" applyAlignment="1" applyProtection="0">
      <alignment vertical="bottom"/>
    </xf>
    <xf numFmtId="0" fontId="0" fillId="4" borderId="134" applyNumberFormat="0" applyFont="1" applyFill="1" applyBorder="1" applyAlignment="1" applyProtection="0">
      <alignment vertical="bottom"/>
    </xf>
    <xf numFmtId="0" fontId="0" fillId="4" borderId="135" applyNumberFormat="0" applyFont="1" applyFill="1" applyBorder="1" applyAlignment="1" applyProtection="0">
      <alignment vertical="bottom"/>
    </xf>
    <xf numFmtId="0" fontId="0" fillId="4" borderId="118" applyNumberFormat="0" applyFont="1" applyFill="1" applyBorder="1" applyAlignment="1" applyProtection="0">
      <alignment vertical="bottom"/>
    </xf>
    <xf numFmtId="49" fontId="0" fillId="5" borderId="46" applyNumberFormat="1" applyFont="1" applyFill="1" applyBorder="1" applyAlignment="1" applyProtection="0">
      <alignment horizontal="left" vertical="center"/>
    </xf>
    <xf numFmtId="0" fontId="0" fillId="5" borderId="31" applyNumberFormat="0" applyFont="1" applyFill="1" applyBorder="1" applyAlignment="1" applyProtection="0">
      <alignment vertical="bottom"/>
    </xf>
    <xf numFmtId="0" fontId="0" fillId="4" borderId="120" applyNumberFormat="0" applyFont="1" applyFill="1" applyBorder="1" applyAlignment="1" applyProtection="0">
      <alignment vertical="bottom"/>
    </xf>
    <xf numFmtId="0" fontId="0" fillId="5" borderId="132" applyNumberFormat="0" applyFont="1" applyFill="1" applyBorder="1" applyAlignment="1" applyProtection="0">
      <alignment vertical="bottom"/>
    </xf>
    <xf numFmtId="49" fontId="44" fillId="5" borderId="132" applyNumberFormat="1" applyFont="1" applyFill="1" applyBorder="1" applyAlignment="1" applyProtection="0">
      <alignment vertical="bottom" wrapText="1"/>
    </xf>
    <xf numFmtId="0" fontId="0" fillId="4" borderId="136" applyNumberFormat="0" applyFont="1" applyFill="1" applyBorder="1" applyAlignment="1" applyProtection="0">
      <alignment vertical="bottom"/>
    </xf>
    <xf numFmtId="0" fontId="0" fillId="4" borderId="137" applyNumberFormat="0" applyFont="1" applyFill="1" applyBorder="1" applyAlignment="1" applyProtection="0">
      <alignment vertical="bottom"/>
    </xf>
    <xf numFmtId="0" fontId="0" fillId="4" borderId="16" applyNumberFormat="0" applyFont="1" applyFill="1" applyBorder="1" applyAlignment="1" applyProtection="0">
      <alignment vertical="bottom"/>
    </xf>
    <xf numFmtId="0" fontId="0" fillId="17" borderId="3" applyNumberFormat="0" applyFont="1" applyFill="1" applyBorder="1" applyAlignment="1" applyProtection="0">
      <alignment vertical="bottom"/>
    </xf>
    <xf numFmtId="0" fontId="0" fillId="17" borderId="4" applyNumberFormat="0" applyFont="1" applyFill="1" applyBorder="1" applyAlignment="1" applyProtection="0">
      <alignment vertical="bottom"/>
    </xf>
    <xf numFmtId="49" fontId="36" fillId="14" borderId="16" applyNumberFormat="1" applyFont="1" applyFill="1" applyBorder="1" applyAlignment="1" applyProtection="0">
      <alignment horizontal="center" vertical="bottom"/>
    </xf>
    <xf numFmtId="0" fontId="36" fillId="14" borderId="16" applyNumberFormat="0" applyFont="1" applyFill="1" applyBorder="1" applyAlignment="1" applyProtection="0">
      <alignment horizontal="center" vertical="bottom"/>
    </xf>
    <xf numFmtId="49" fontId="29" fillId="14" borderId="27" applyNumberFormat="1" applyFont="1" applyFill="1" applyBorder="1" applyAlignment="1" applyProtection="0">
      <alignment horizontal="center" vertical="bottom"/>
    </xf>
    <xf numFmtId="0" fontId="29" fillId="14" borderId="28" applyNumberFormat="0" applyFont="1" applyFill="1" applyBorder="1" applyAlignment="1" applyProtection="0">
      <alignment horizontal="center" vertical="bottom"/>
    </xf>
    <xf numFmtId="0" fontId="29" fillId="14" borderId="26" applyNumberFormat="0" applyFont="1" applyFill="1" applyBorder="1" applyAlignment="1" applyProtection="0">
      <alignment horizontal="center" vertical="bottom"/>
    </xf>
    <xf numFmtId="49" fontId="29" fillId="14" borderId="16" applyNumberFormat="1" applyFont="1" applyFill="1" applyBorder="1" applyAlignment="1" applyProtection="0">
      <alignment horizontal="center" vertical="center" wrapText="1"/>
    </xf>
    <xf numFmtId="0" fontId="29" fillId="14" borderId="16" applyNumberFormat="0" applyFont="1" applyFill="1" applyBorder="1" applyAlignment="1" applyProtection="0">
      <alignment horizontal="center" vertical="center" wrapText="1"/>
    </xf>
    <xf numFmtId="49" fontId="29" fillId="14" borderId="16" applyNumberFormat="1" applyFont="1" applyFill="1" applyBorder="1" applyAlignment="1" applyProtection="0">
      <alignment horizontal="center" vertical="bottom"/>
    </xf>
    <xf numFmtId="0" fontId="29" fillId="14" borderId="16" applyNumberFormat="0" applyFont="1" applyFill="1" applyBorder="1" applyAlignment="1" applyProtection="0">
      <alignment horizontal="center" vertical="bottom"/>
    </xf>
    <xf numFmtId="0" fontId="0" fillId="4" borderId="99" applyNumberFormat="0" applyFont="1" applyFill="1" applyBorder="1" applyAlignment="1" applyProtection="0">
      <alignment vertical="bottom"/>
    </xf>
    <xf numFmtId="49" fontId="45" fillId="14" borderId="31" applyNumberFormat="1" applyFont="1" applyFill="1" applyBorder="1" applyAlignment="1" applyProtection="0">
      <alignment horizontal="center" vertical="center" wrapText="1"/>
    </xf>
    <xf numFmtId="49" fontId="36" fillId="14" borderId="31" applyNumberFormat="1" applyFont="1" applyFill="1" applyBorder="1" applyAlignment="1" applyProtection="0">
      <alignment horizontal="center" vertical="bottom"/>
    </xf>
    <xf numFmtId="0" fontId="0" fillId="5" borderId="31" applyNumberFormat="1" applyFont="1" applyFill="1" applyBorder="1" applyAlignment="1" applyProtection="0">
      <alignment horizontal="center" vertical="center" wrapText="1"/>
    </xf>
    <xf numFmtId="60" fontId="0" fillId="5" borderId="31" applyNumberFormat="1" applyFont="1" applyFill="1" applyBorder="1" applyAlignment="1" applyProtection="0">
      <alignment horizontal="center" vertical="center"/>
    </xf>
    <xf numFmtId="49" fontId="29" fillId="14" borderId="27" applyNumberFormat="1" applyFont="1" applyFill="1" applyBorder="1" applyAlignment="1" applyProtection="0">
      <alignment horizontal="center" vertical="center" wrapText="1"/>
    </xf>
    <xf numFmtId="0" fontId="29" fillId="14" borderId="28" applyNumberFormat="0" applyFont="1" applyFill="1" applyBorder="1" applyAlignment="1" applyProtection="0">
      <alignment horizontal="center" vertical="center" wrapText="1"/>
    </xf>
    <xf numFmtId="0" fontId="29" fillId="14" borderId="26" applyNumberFormat="0" applyFont="1" applyFill="1" applyBorder="1" applyAlignment="1" applyProtection="0">
      <alignment horizontal="center" vertical="center" wrapText="1"/>
    </xf>
    <xf numFmtId="49" fontId="46" fillId="14" borderId="16" applyNumberFormat="1" applyFont="1" applyFill="1" applyBorder="1" applyAlignment="1" applyProtection="0">
      <alignment horizontal="center" vertical="bottom" wrapText="1"/>
    </xf>
    <xf numFmtId="0" fontId="46" fillId="14" borderId="16" applyNumberFormat="0" applyFont="1" applyFill="1" applyBorder="1" applyAlignment="1" applyProtection="0">
      <alignment horizontal="center" vertical="bottom" wrapText="1"/>
    </xf>
    <xf numFmtId="49" fontId="0" fillId="5" borderId="31" applyNumberFormat="1" applyFont="1" applyFill="1" applyBorder="1" applyAlignment="1" applyProtection="0">
      <alignment horizontal="center" vertical="top" wrapText="1"/>
    </xf>
    <xf numFmtId="61" fontId="0" fillId="5" borderId="31" applyNumberFormat="1" applyFont="1" applyFill="1" applyBorder="1" applyAlignment="1" applyProtection="0">
      <alignment horizontal="center" vertical="center"/>
    </xf>
    <xf numFmtId="0" fontId="0" fillId="5" borderId="31" applyNumberFormat="1" applyFont="1" applyFill="1" applyBorder="1" applyAlignment="1" applyProtection="0">
      <alignment vertical="bottom" wrapText="1"/>
    </xf>
    <xf numFmtId="0" fontId="0" fillId="4" borderId="138" applyNumberFormat="0" applyFont="1" applyFill="1" applyBorder="1" applyAlignment="1" applyProtection="0">
      <alignment vertical="bottom"/>
    </xf>
    <xf numFmtId="0" fontId="0" fillId="4" borderId="139" applyNumberFormat="0" applyFont="1" applyFill="1" applyBorder="1" applyAlignment="1" applyProtection="0">
      <alignment vertical="bottom"/>
    </xf>
    <xf numFmtId="0" fontId="0" fillId="4" applyNumberFormat="1" applyFont="1" applyFill="1" applyBorder="0" applyAlignment="1" applyProtection="0">
      <alignment vertical="bottom"/>
    </xf>
    <xf numFmtId="0" fontId="0" fillId="4" borderId="140" applyNumberFormat="0" applyFont="1" applyFill="1" applyBorder="1" applyAlignment="1" applyProtection="0">
      <alignment vertical="bottom"/>
    </xf>
    <xf numFmtId="0" fontId="29" fillId="14" borderId="105" applyNumberFormat="0" applyFont="1" applyFill="1" applyBorder="1" applyAlignment="1" applyProtection="0">
      <alignment horizontal="center" vertical="center" wrapText="1"/>
    </xf>
    <xf numFmtId="49" fontId="0" fillId="5" borderId="33" applyNumberFormat="1" applyFont="1" applyFill="1" applyBorder="1" applyAlignment="1" applyProtection="0">
      <alignment horizontal="center" vertical="center"/>
    </xf>
    <xf numFmtId="49" fontId="0" fillId="5" borderId="35" applyNumberFormat="1" applyFont="1" applyFill="1" applyBorder="1" applyAlignment="1" applyProtection="0">
      <alignment horizontal="center" vertical="center" wrapText="1"/>
    </xf>
    <xf numFmtId="0" fontId="0" fillId="4" borderId="141" applyNumberFormat="0" applyFont="1" applyFill="1" applyBorder="1" applyAlignment="1" applyProtection="0">
      <alignment vertical="bottom"/>
    </xf>
    <xf numFmtId="0" fontId="0" fillId="4" borderId="142" applyNumberFormat="0" applyFont="1" applyFill="1" applyBorder="1" applyAlignment="1" applyProtection="0">
      <alignment vertical="bottom"/>
    </xf>
    <xf numFmtId="0" fontId="0" applyNumberFormat="1" applyFont="1" applyFill="0" applyBorder="0" applyAlignment="1" applyProtection="0">
      <alignment vertical="bottom"/>
    </xf>
    <xf numFmtId="0" fontId="47" fillId="4" borderId="1" applyNumberFormat="0" applyFont="1" applyFill="1" applyBorder="1" applyAlignment="1" applyProtection="0">
      <alignment vertical="bottom"/>
    </xf>
    <xf numFmtId="0" fontId="47" fillId="4" borderId="37" applyNumberFormat="0" applyFont="1" applyFill="1" applyBorder="1" applyAlignment="1" applyProtection="0">
      <alignment vertical="bottom"/>
    </xf>
    <xf numFmtId="0" fontId="47" fillId="4" borderId="2" applyNumberFormat="0" applyFont="1" applyFill="1" applyBorder="1" applyAlignment="1" applyProtection="0">
      <alignment vertical="bottom"/>
    </xf>
    <xf numFmtId="0" fontId="47" fillId="4" borderId="38" applyNumberFormat="0" applyFont="1" applyFill="1" applyBorder="1" applyAlignment="1" applyProtection="0">
      <alignment vertical="bottom"/>
    </xf>
    <xf numFmtId="49" fontId="10" fillId="19" borderId="65" applyNumberFormat="1" applyFont="1" applyFill="1" applyBorder="1" applyAlignment="1" applyProtection="0">
      <alignment horizontal="center" vertical="center"/>
    </xf>
    <xf numFmtId="49" fontId="10" fillId="19" borderId="66" applyNumberFormat="1" applyFont="1" applyFill="1" applyBorder="1" applyAlignment="1" applyProtection="0">
      <alignment horizontal="center" vertical="center"/>
    </xf>
    <xf numFmtId="49" fontId="10" fillId="19" borderId="66" applyNumberFormat="1" applyFont="1" applyFill="1" applyBorder="1" applyAlignment="1" applyProtection="0">
      <alignment horizontal="center" vertical="center" wrapText="1"/>
    </xf>
    <xf numFmtId="49" fontId="10" fillId="19" borderId="41" applyNumberFormat="1" applyFont="1" applyFill="1" applyBorder="1" applyAlignment="1" applyProtection="0">
      <alignment horizontal="center" vertical="center"/>
    </xf>
    <xf numFmtId="0" fontId="47" fillId="4" borderId="12" applyNumberFormat="0" applyFont="1" applyFill="1" applyBorder="1" applyAlignment="1" applyProtection="0">
      <alignment vertical="bottom"/>
    </xf>
    <xf numFmtId="0" fontId="47" fillId="4" borderId="42" applyNumberFormat="0" applyFont="1" applyFill="1" applyBorder="1" applyAlignment="1" applyProtection="0">
      <alignment vertical="bottom"/>
    </xf>
    <xf numFmtId="49" fontId="0" fillId="5" borderId="65" applyNumberFormat="1" applyFont="1" applyFill="1" applyBorder="1" applyAlignment="1" applyProtection="0">
      <alignment horizontal="center" vertical="center"/>
    </xf>
    <xf numFmtId="49" fontId="0" fillId="5" borderId="66" applyNumberFormat="1" applyFont="1" applyFill="1" applyBorder="1" applyAlignment="1" applyProtection="0">
      <alignment horizontal="center" vertical="center"/>
    </xf>
    <xf numFmtId="49" fontId="0" fillId="5" borderId="66" applyNumberFormat="1" applyFont="1" applyFill="1" applyBorder="1" applyAlignment="1" applyProtection="0">
      <alignment horizontal="center" vertical="center" wrapText="1"/>
    </xf>
    <xf numFmtId="49" fontId="0" fillId="33" borderId="41" applyNumberFormat="1" applyFont="1" applyFill="1" applyBorder="1" applyAlignment="1" applyProtection="0">
      <alignment horizontal="center" vertical="center"/>
    </xf>
    <xf numFmtId="49" fontId="0" fillId="18" borderId="53" applyNumberFormat="1" applyFont="1" applyFill="1" applyBorder="1" applyAlignment="1" applyProtection="0">
      <alignment horizontal="center" vertical="center"/>
    </xf>
    <xf numFmtId="49" fontId="0" fillId="18" borderId="32" applyNumberFormat="1" applyFont="1" applyFill="1" applyBorder="1" applyAlignment="1" applyProtection="0">
      <alignment horizontal="center" vertical="center"/>
    </xf>
    <xf numFmtId="49" fontId="0" fillId="33" borderId="32" applyNumberFormat="1" applyFont="1" applyFill="1" applyBorder="1" applyAlignment="1" applyProtection="0">
      <alignment horizontal="center" vertical="center"/>
    </xf>
    <xf numFmtId="49" fontId="0" fillId="18" borderId="35" applyNumberFormat="1" applyFont="1" applyFill="1" applyBorder="1" applyAlignment="1" applyProtection="0">
      <alignment horizontal="center" vertical="center"/>
    </xf>
    <xf numFmtId="49" fontId="0" fillId="33" borderId="35" applyNumberFormat="1" applyFont="1" applyFill="1" applyBorder="1" applyAlignment="1" applyProtection="0">
      <alignment horizontal="center" vertical="center"/>
    </xf>
    <xf numFmtId="49" fontId="0" fillId="17" borderId="32" applyNumberFormat="1" applyFont="1" applyFill="1" applyBorder="1" applyAlignment="1" applyProtection="0">
      <alignment horizontal="center" vertical="center"/>
    </xf>
    <xf numFmtId="49" fontId="0" fillId="33" borderId="53" applyNumberFormat="1" applyFont="1" applyFill="1" applyBorder="1" applyAlignment="1" applyProtection="0">
      <alignment horizontal="center" vertical="center"/>
    </xf>
    <xf numFmtId="49" fontId="0" fillId="17" borderId="35" applyNumberFormat="1" applyFont="1" applyFill="1" applyBorder="1" applyAlignment="1" applyProtection="0">
      <alignment horizontal="center" vertical="center"/>
    </xf>
  </cellXfs>
  <cellStyles count="1">
    <cellStyle name="Normal" xfId="0" builtinId="0"/>
  </cellStyles>
  <dxfs count="227">
    <dxf>
      <font>
        <b val="1"/>
        <color rgb="ff000000"/>
      </font>
      <fill>
        <patternFill patternType="solid">
          <fgColor indexed="25"/>
          <bgColor indexed="26"/>
        </patternFill>
      </fill>
    </dxf>
    <dxf>
      <font>
        <color rgb="ffffffff"/>
      </font>
      <fill>
        <patternFill patternType="solid">
          <fgColor indexed="25"/>
          <bgColor indexed="21"/>
        </patternFill>
      </fill>
    </dxf>
    <dxf>
      <font>
        <color rgb="ffffffff"/>
      </font>
      <fill>
        <patternFill patternType="solid">
          <fgColor indexed="25"/>
          <bgColor indexed="21"/>
        </patternFill>
      </fill>
    </dxf>
    <dxf>
      <font>
        <color rgb="ff000000"/>
      </font>
      <fill>
        <patternFill patternType="solid">
          <fgColor indexed="25"/>
          <bgColor indexed="22"/>
        </patternFill>
      </fill>
    </dxf>
    <dxf>
      <font>
        <color rgb="ffffffff"/>
      </font>
      <fill>
        <patternFill patternType="solid">
          <fgColor indexed="25"/>
          <bgColor indexed="21"/>
        </patternFill>
      </fill>
    </dxf>
    <dxf>
      <fill>
        <patternFill patternType="solid">
          <fgColor indexed="25"/>
          <bgColor indexed="22"/>
        </patternFill>
      </fill>
    </dxf>
    <dxf>
      <font>
        <b val="1"/>
        <color rgb="ffffffff"/>
      </font>
      <fill>
        <patternFill patternType="solid">
          <fgColor indexed="25"/>
          <bgColor indexed="21"/>
        </patternFill>
      </fill>
    </dxf>
    <dxf>
      <fill>
        <patternFill patternType="solid">
          <fgColor indexed="25"/>
          <bgColor indexed="22"/>
        </patternFill>
      </fill>
    </dxf>
    <dxf>
      <fill>
        <patternFill patternType="solid">
          <fgColor indexed="25"/>
          <bgColor indexed="22"/>
        </patternFill>
      </fill>
    </dxf>
    <dxf>
      <font>
        <color rgb="ffffffff"/>
      </font>
      <fill>
        <patternFill patternType="solid">
          <fgColor indexed="25"/>
          <bgColor indexed="21"/>
        </patternFill>
      </fill>
    </dxf>
    <dxf>
      <fill>
        <patternFill patternType="solid">
          <fgColor indexed="25"/>
          <bgColor indexed="22"/>
        </patternFill>
      </fill>
    </dxf>
    <dxf>
      <font>
        <color rgb="ffffffff"/>
      </font>
      <fill>
        <patternFill patternType="solid">
          <fgColor indexed="25"/>
          <bgColor indexed="21"/>
        </patternFill>
      </fill>
    </dxf>
    <dxf>
      <font>
        <color rgb="ffffffff"/>
      </font>
      <fill>
        <patternFill patternType="solid">
          <fgColor indexed="25"/>
          <bgColor indexed="21"/>
        </patternFill>
      </fill>
    </dxf>
    <dxf>
      <font>
        <color rgb="ffffffff"/>
      </font>
      <fill>
        <patternFill patternType="solid">
          <fgColor indexed="25"/>
          <bgColor indexed="21"/>
        </patternFill>
      </fill>
    </dxf>
    <dxf>
      <font>
        <color rgb="ffffffff"/>
      </font>
      <fill>
        <patternFill patternType="solid">
          <fgColor indexed="25"/>
          <bgColor indexed="21"/>
        </patternFill>
      </fill>
    </dxf>
    <dxf>
      <font>
        <color rgb="ffffffff"/>
      </font>
      <fill>
        <patternFill patternType="solid">
          <fgColor indexed="25"/>
          <bgColor indexed="21"/>
        </patternFill>
      </fill>
    </dxf>
    <dxf>
      <font>
        <color rgb="ffffffff"/>
      </font>
      <fill>
        <patternFill patternType="solid">
          <fgColor indexed="25"/>
          <bgColor indexed="21"/>
        </patternFill>
      </fill>
    </dxf>
    <dxf>
      <fill>
        <patternFill patternType="solid">
          <fgColor indexed="25"/>
          <bgColor indexed="22"/>
        </patternFill>
      </fill>
    </dxf>
    <dxf>
      <font>
        <color rgb="ffffffff"/>
      </font>
      <fill>
        <patternFill patternType="solid">
          <fgColor indexed="25"/>
          <bgColor indexed="21"/>
        </patternFill>
      </fill>
    </dxf>
    <dxf>
      <fill>
        <patternFill patternType="solid">
          <fgColor indexed="25"/>
          <bgColor indexed="22"/>
        </patternFill>
      </fill>
    </dxf>
    <dxf>
      <font>
        <color rgb="ffffffff"/>
      </font>
      <fill>
        <patternFill patternType="solid">
          <fgColor indexed="25"/>
          <bgColor indexed="21"/>
        </patternFill>
      </fill>
    </dxf>
    <dxf>
      <font>
        <color rgb="ffffffff"/>
      </font>
      <fill>
        <patternFill patternType="solid">
          <fgColor indexed="25"/>
          <bgColor indexed="21"/>
        </patternFill>
      </fill>
    </dxf>
    <dxf>
      <fill>
        <patternFill patternType="solid">
          <fgColor indexed="25"/>
          <bgColor indexed="32"/>
        </patternFill>
      </fill>
    </dxf>
    <dxf>
      <fill>
        <patternFill patternType="solid">
          <fgColor indexed="25"/>
          <bgColor indexed="22"/>
        </patternFill>
      </fill>
    </dxf>
    <dxf>
      <fill>
        <patternFill patternType="solid">
          <fgColor indexed="25"/>
          <bgColor indexed="22"/>
        </patternFill>
      </fill>
    </dxf>
    <dxf>
      <font>
        <color rgb="ffffffff"/>
      </font>
      <fill>
        <patternFill patternType="solid">
          <fgColor indexed="25"/>
          <bgColor indexed="21"/>
        </patternFill>
      </fill>
    </dxf>
    <dxf>
      <fill>
        <patternFill patternType="solid">
          <fgColor indexed="25"/>
          <bgColor indexed="22"/>
        </patternFill>
      </fill>
    </dxf>
    <dxf>
      <font>
        <color rgb="ffffffff"/>
      </font>
      <fill>
        <patternFill patternType="solid">
          <fgColor indexed="25"/>
          <bgColor indexed="21"/>
        </patternFill>
      </fill>
    </dxf>
    <dxf>
      <font>
        <color rgb="ffffffff"/>
      </font>
      <fill>
        <patternFill patternType="solid">
          <fgColor indexed="25"/>
          <bgColor indexed="21"/>
        </patternFill>
      </fill>
    </dxf>
    <dxf>
      <font>
        <color rgb="ffffffff"/>
      </font>
      <fill>
        <patternFill patternType="solid">
          <fgColor indexed="25"/>
          <bgColor indexed="21"/>
        </patternFill>
      </fill>
    </dxf>
    <dxf>
      <fill>
        <patternFill patternType="solid">
          <fgColor indexed="25"/>
          <bgColor indexed="26"/>
        </patternFill>
      </fill>
    </dxf>
    <dxf>
      <font>
        <color rgb="ffffffff"/>
      </font>
      <fill>
        <patternFill patternType="solid">
          <fgColor indexed="25"/>
          <bgColor indexed="21"/>
        </patternFill>
      </fill>
    </dxf>
    <dxf>
      <fill>
        <patternFill patternType="solid">
          <fgColor indexed="25"/>
          <bgColor indexed="22"/>
        </patternFill>
      </fill>
    </dxf>
    <dxf>
      <font>
        <color rgb="ffffffff"/>
      </font>
      <fill>
        <patternFill patternType="solid">
          <fgColor indexed="25"/>
          <bgColor indexed="21"/>
        </patternFill>
      </fill>
    </dxf>
    <dxf>
      <fill>
        <patternFill patternType="solid">
          <fgColor indexed="25"/>
          <bgColor indexed="22"/>
        </patternFill>
      </fill>
    </dxf>
    <dxf>
      <font>
        <color rgb="ffffffff"/>
      </font>
      <fill>
        <patternFill patternType="solid">
          <fgColor indexed="25"/>
          <bgColor indexed="21"/>
        </patternFill>
      </fill>
    </dxf>
    <dxf>
      <font>
        <color rgb="ffffffff"/>
      </font>
      <fill>
        <patternFill patternType="solid">
          <fgColor indexed="25"/>
          <bgColor indexed="21"/>
        </patternFill>
      </fill>
    </dxf>
    <dxf>
      <font>
        <color rgb="ff000000"/>
      </font>
      <fill>
        <patternFill patternType="solid">
          <fgColor indexed="25"/>
          <bgColor indexed="26"/>
        </patternFill>
      </fill>
    </dxf>
    <dxf>
      <fill>
        <patternFill patternType="solid">
          <fgColor indexed="25"/>
          <bgColor indexed="15"/>
        </patternFill>
      </fill>
    </dxf>
    <dxf>
      <font>
        <color rgb="ffffffff"/>
      </font>
      <fill>
        <patternFill patternType="solid">
          <fgColor indexed="25"/>
          <bgColor indexed="21"/>
        </patternFill>
      </fill>
    </dxf>
    <dxf>
      <font>
        <color rgb="ffffffff"/>
      </font>
      <fill>
        <patternFill patternType="solid">
          <fgColor indexed="25"/>
          <bgColor indexed="21"/>
        </patternFill>
      </fill>
    </dxf>
    <dxf>
      <fill>
        <patternFill patternType="solid">
          <fgColor indexed="25"/>
          <bgColor indexed="26"/>
        </patternFill>
      </fill>
    </dxf>
    <dxf>
      <font>
        <color rgb="ffffffff"/>
      </font>
      <fill>
        <patternFill patternType="solid">
          <fgColor indexed="25"/>
          <bgColor indexed="21"/>
        </patternFill>
      </fill>
    </dxf>
    <dxf>
      <fill>
        <patternFill patternType="solid">
          <fgColor indexed="25"/>
          <bgColor indexed="22"/>
        </patternFill>
      </fill>
    </dxf>
    <dxf>
      <font>
        <color rgb="ffffffff"/>
      </font>
      <fill>
        <patternFill patternType="solid">
          <fgColor indexed="25"/>
          <bgColor indexed="21"/>
        </patternFill>
      </fill>
    </dxf>
    <dxf>
      <fill>
        <patternFill patternType="solid">
          <fgColor indexed="25"/>
          <bgColor indexed="22"/>
        </patternFill>
      </fill>
    </dxf>
    <dxf>
      <font>
        <color rgb="ffffffff"/>
      </font>
      <fill>
        <patternFill patternType="solid">
          <fgColor indexed="25"/>
          <bgColor indexed="21"/>
        </patternFill>
      </fill>
    </dxf>
    <dxf>
      <font>
        <color rgb="ffffffff"/>
      </font>
      <fill>
        <patternFill patternType="solid">
          <fgColor indexed="25"/>
          <bgColor indexed="21"/>
        </patternFill>
      </fill>
    </dxf>
    <dxf>
      <font>
        <color rgb="ffffffff"/>
      </font>
      <fill>
        <patternFill patternType="solid">
          <fgColor indexed="25"/>
          <bgColor indexed="21"/>
        </patternFill>
      </fill>
    </dxf>
    <dxf>
      <fill>
        <patternFill patternType="solid">
          <fgColor indexed="25"/>
          <bgColor indexed="36"/>
        </patternFill>
      </fill>
    </dxf>
    <dxf>
      <font>
        <color rgb="ffffffff"/>
      </font>
      <fill>
        <patternFill patternType="solid">
          <fgColor indexed="25"/>
          <bgColor indexed="21"/>
        </patternFill>
      </fill>
    </dxf>
    <dxf>
      <font>
        <color rgb="ffffffff"/>
      </font>
      <fill>
        <patternFill patternType="solid">
          <fgColor indexed="25"/>
          <bgColor indexed="21"/>
        </patternFill>
      </fill>
    </dxf>
    <dxf>
      <font>
        <color rgb="ffffffff"/>
      </font>
      <fill>
        <patternFill patternType="solid">
          <fgColor indexed="25"/>
          <bgColor indexed="21"/>
        </patternFill>
      </fill>
    </dxf>
    <dxf>
      <fill>
        <patternFill patternType="solid">
          <fgColor indexed="25"/>
          <bgColor indexed="26"/>
        </patternFill>
      </fill>
    </dxf>
    <dxf>
      <font>
        <color rgb="ffffffff"/>
      </font>
      <fill>
        <patternFill patternType="solid">
          <fgColor indexed="25"/>
          <bgColor indexed="21"/>
        </patternFill>
      </fill>
    </dxf>
    <dxf>
      <fill>
        <patternFill patternType="solid">
          <fgColor indexed="25"/>
          <bgColor indexed="22"/>
        </patternFill>
      </fill>
    </dxf>
    <dxf>
      <font>
        <color rgb="ffffffff"/>
      </font>
      <fill>
        <patternFill patternType="solid">
          <fgColor indexed="25"/>
          <bgColor indexed="21"/>
        </patternFill>
      </fill>
    </dxf>
    <dxf>
      <fill>
        <patternFill patternType="solid">
          <fgColor indexed="25"/>
          <bgColor indexed="22"/>
        </patternFill>
      </fill>
    </dxf>
    <dxf>
      <font>
        <color rgb="ffffffff"/>
      </font>
      <fill>
        <patternFill patternType="solid">
          <fgColor indexed="25"/>
          <bgColor indexed="21"/>
        </patternFill>
      </fill>
    </dxf>
    <dxf>
      <font>
        <color rgb="ffffffff"/>
      </font>
      <fill>
        <patternFill patternType="solid">
          <fgColor indexed="25"/>
          <bgColor indexed="21"/>
        </patternFill>
      </fill>
    </dxf>
    <dxf>
      <fill>
        <patternFill patternType="solid">
          <fgColor indexed="25"/>
          <bgColor indexed="26"/>
        </patternFill>
      </fill>
    </dxf>
    <dxf>
      <font>
        <color rgb="ffffffff"/>
      </font>
      <fill>
        <patternFill patternType="solid">
          <fgColor indexed="25"/>
          <bgColor indexed="21"/>
        </patternFill>
      </fill>
    </dxf>
    <dxf>
      <fill>
        <patternFill patternType="solid">
          <fgColor indexed="25"/>
          <bgColor indexed="22"/>
        </patternFill>
      </fill>
    </dxf>
    <dxf>
      <font>
        <color rgb="ffffffff"/>
      </font>
      <fill>
        <patternFill patternType="solid">
          <fgColor indexed="25"/>
          <bgColor indexed="21"/>
        </patternFill>
      </fill>
    </dxf>
    <dxf>
      <fill>
        <patternFill patternType="solid">
          <fgColor indexed="25"/>
          <bgColor indexed="22"/>
        </patternFill>
      </fill>
    </dxf>
    <dxf>
      <font>
        <color rgb="ffffffff"/>
      </font>
      <fill>
        <patternFill patternType="solid">
          <fgColor indexed="25"/>
          <bgColor indexed="21"/>
        </patternFill>
      </fill>
    </dxf>
    <dxf>
      <font>
        <color rgb="ffffffff"/>
      </font>
      <fill>
        <patternFill patternType="solid">
          <fgColor indexed="25"/>
          <bgColor indexed="21"/>
        </patternFill>
      </fill>
    </dxf>
    <dxf>
      <font>
        <color rgb="ffffffff"/>
      </font>
      <fill>
        <patternFill patternType="solid">
          <fgColor indexed="25"/>
          <bgColor indexed="21"/>
        </patternFill>
      </fill>
    </dxf>
    <dxf>
      <font>
        <color rgb="ffffffff"/>
      </font>
      <fill>
        <patternFill patternType="solid">
          <fgColor indexed="25"/>
          <bgColor indexed="21"/>
        </patternFill>
      </fill>
    </dxf>
    <dxf>
      <font>
        <color rgb="ff000000"/>
      </font>
      <fill>
        <patternFill patternType="solid">
          <fgColor indexed="25"/>
          <bgColor indexed="26"/>
        </patternFill>
      </fill>
    </dxf>
    <dxf>
      <font>
        <color rgb="ffffffff"/>
      </font>
      <fill>
        <patternFill patternType="solid">
          <fgColor indexed="25"/>
          <bgColor indexed="21"/>
        </patternFill>
      </fill>
    </dxf>
    <dxf>
      <font>
        <color rgb="ff000000"/>
      </font>
      <fill>
        <patternFill patternType="solid">
          <fgColor indexed="25"/>
          <bgColor indexed="26"/>
        </patternFill>
      </fill>
    </dxf>
    <dxf>
      <font>
        <color rgb="ffffffff"/>
      </font>
      <fill>
        <patternFill patternType="solid">
          <fgColor indexed="25"/>
          <bgColor indexed="21"/>
        </patternFill>
      </fill>
    </dxf>
    <dxf>
      <font>
        <color rgb="ffffffff"/>
      </font>
      <fill>
        <patternFill patternType="solid">
          <fgColor indexed="25"/>
          <bgColor indexed="21"/>
        </patternFill>
      </fill>
    </dxf>
    <dxf>
      <font>
        <color rgb="ffffffff"/>
      </font>
      <fill>
        <patternFill patternType="solid">
          <fgColor indexed="25"/>
          <bgColor indexed="21"/>
        </patternFill>
      </fill>
    </dxf>
    <dxf>
      <font>
        <color rgb="ffffffff"/>
      </font>
      <fill>
        <patternFill patternType="solid">
          <fgColor indexed="25"/>
          <bgColor indexed="21"/>
        </patternFill>
      </fill>
    </dxf>
    <dxf>
      <font>
        <color rgb="ffffffff"/>
      </font>
      <fill>
        <patternFill patternType="solid">
          <fgColor indexed="25"/>
          <bgColor indexed="21"/>
        </patternFill>
      </fill>
    </dxf>
    <dxf>
      <font>
        <color rgb="ffffffff"/>
      </font>
      <fill>
        <patternFill patternType="solid">
          <fgColor indexed="25"/>
          <bgColor indexed="21"/>
        </patternFill>
      </fill>
    </dxf>
    <dxf>
      <font>
        <color rgb="ffffffff"/>
      </font>
      <fill>
        <patternFill patternType="solid">
          <fgColor indexed="25"/>
          <bgColor indexed="21"/>
        </patternFill>
      </fill>
    </dxf>
    <dxf>
      <font>
        <color rgb="ffffffff"/>
      </font>
      <fill>
        <patternFill patternType="solid">
          <fgColor indexed="25"/>
          <bgColor indexed="21"/>
        </patternFill>
      </fill>
    </dxf>
    <dxf>
      <font>
        <color rgb="ffffffff"/>
      </font>
      <fill>
        <patternFill patternType="solid">
          <fgColor indexed="25"/>
          <bgColor indexed="21"/>
        </patternFill>
      </fill>
    </dxf>
    <dxf>
      <font>
        <color rgb="ffffffff"/>
      </font>
      <fill>
        <patternFill patternType="solid">
          <fgColor indexed="25"/>
          <bgColor indexed="21"/>
        </patternFill>
      </fill>
    </dxf>
    <dxf>
      <fill>
        <patternFill patternType="solid">
          <fgColor indexed="25"/>
          <bgColor indexed="26"/>
        </patternFill>
      </fill>
    </dxf>
    <dxf>
      <font>
        <color rgb="ffffffff"/>
      </font>
      <fill>
        <patternFill patternType="solid">
          <fgColor indexed="25"/>
          <bgColor indexed="21"/>
        </patternFill>
      </fill>
    </dxf>
    <dxf>
      <fill>
        <patternFill patternType="solid">
          <fgColor indexed="25"/>
          <bgColor indexed="22"/>
        </patternFill>
      </fill>
    </dxf>
    <dxf>
      <font>
        <color rgb="ffffffff"/>
      </font>
      <fill>
        <patternFill patternType="solid">
          <fgColor indexed="25"/>
          <bgColor indexed="21"/>
        </patternFill>
      </fill>
    </dxf>
    <dxf>
      <fill>
        <patternFill patternType="solid">
          <fgColor indexed="25"/>
          <bgColor indexed="22"/>
        </patternFill>
      </fill>
    </dxf>
    <dxf>
      <font>
        <color rgb="ffffffff"/>
      </font>
      <fill>
        <patternFill patternType="solid">
          <fgColor indexed="25"/>
          <bgColor indexed="21"/>
        </patternFill>
      </fill>
    </dxf>
    <dxf>
      <font>
        <color rgb="ffffffff"/>
      </font>
      <fill>
        <patternFill patternType="solid">
          <fgColor indexed="25"/>
          <bgColor indexed="21"/>
        </patternFill>
      </fill>
    </dxf>
    <dxf>
      <font>
        <color rgb="ffffffff"/>
      </font>
      <fill>
        <patternFill patternType="solid">
          <fgColor indexed="25"/>
          <bgColor indexed="21"/>
        </patternFill>
      </fill>
    </dxf>
    <dxf>
      <font>
        <color rgb="ffffffff"/>
      </font>
      <fill>
        <patternFill patternType="solid">
          <fgColor indexed="25"/>
          <bgColor indexed="21"/>
        </patternFill>
      </fill>
    </dxf>
    <dxf>
      <font>
        <color rgb="ffffffff"/>
      </font>
      <fill>
        <patternFill patternType="solid">
          <fgColor indexed="25"/>
          <bgColor indexed="21"/>
        </patternFill>
      </fill>
    </dxf>
    <dxf>
      <font>
        <color rgb="ff000000"/>
      </font>
      <fill>
        <patternFill patternType="solid">
          <fgColor indexed="25"/>
          <bgColor indexed="26"/>
        </patternFill>
      </fill>
    </dxf>
    <dxf>
      <font>
        <color rgb="ffffffff"/>
      </font>
      <fill>
        <patternFill patternType="solid">
          <fgColor indexed="25"/>
          <bgColor indexed="21"/>
        </patternFill>
      </fill>
    </dxf>
    <dxf>
      <fill>
        <patternFill patternType="solid">
          <fgColor indexed="25"/>
          <bgColor indexed="26"/>
        </patternFill>
      </fill>
    </dxf>
    <dxf>
      <fill>
        <patternFill patternType="solid">
          <fgColor indexed="25"/>
          <bgColor indexed="15"/>
        </patternFill>
      </fill>
    </dxf>
    <dxf>
      <font>
        <color rgb="ffffffff"/>
      </font>
      <fill>
        <patternFill patternType="solid">
          <fgColor indexed="25"/>
          <bgColor indexed="21"/>
        </patternFill>
      </fill>
    </dxf>
    <dxf>
      <font>
        <color rgb="ffffffff"/>
      </font>
      <fill>
        <patternFill patternType="solid">
          <fgColor indexed="25"/>
          <bgColor indexed="21"/>
        </patternFill>
      </fill>
    </dxf>
    <dxf>
      <fill>
        <patternFill patternType="solid">
          <fgColor indexed="25"/>
          <bgColor indexed="26"/>
        </patternFill>
      </fill>
    </dxf>
    <dxf>
      <font>
        <color rgb="ffffffff"/>
      </font>
      <fill>
        <patternFill patternType="solid">
          <fgColor indexed="25"/>
          <bgColor indexed="21"/>
        </patternFill>
      </fill>
    </dxf>
    <dxf>
      <fill>
        <patternFill patternType="solid">
          <fgColor indexed="25"/>
          <bgColor indexed="22"/>
        </patternFill>
      </fill>
    </dxf>
    <dxf>
      <font>
        <color rgb="ffffffff"/>
      </font>
      <fill>
        <patternFill patternType="solid">
          <fgColor indexed="25"/>
          <bgColor indexed="21"/>
        </patternFill>
      </fill>
    </dxf>
    <dxf>
      <fill>
        <patternFill patternType="solid">
          <fgColor indexed="25"/>
          <bgColor indexed="22"/>
        </patternFill>
      </fill>
    </dxf>
    <dxf>
      <font>
        <color rgb="ffffffff"/>
      </font>
      <fill>
        <patternFill patternType="solid">
          <fgColor indexed="25"/>
          <bgColor indexed="21"/>
        </patternFill>
      </fill>
    </dxf>
    <dxf>
      <font>
        <color rgb="ffffffff"/>
      </font>
      <fill>
        <patternFill patternType="solid">
          <fgColor indexed="25"/>
          <bgColor indexed="21"/>
        </patternFill>
      </fill>
    </dxf>
    <dxf>
      <font>
        <color rgb="ffffffff"/>
      </font>
      <fill>
        <patternFill patternType="solid">
          <fgColor indexed="25"/>
          <bgColor indexed="21"/>
        </patternFill>
      </fill>
    </dxf>
    <dxf>
      <font>
        <color rgb="ffffffff"/>
      </font>
      <fill>
        <patternFill patternType="solid">
          <fgColor indexed="25"/>
          <bgColor indexed="21"/>
        </patternFill>
      </fill>
    </dxf>
    <dxf>
      <font>
        <color rgb="ffffffff"/>
      </font>
      <fill>
        <patternFill patternType="solid">
          <fgColor indexed="25"/>
          <bgColor indexed="21"/>
        </patternFill>
      </fill>
    </dxf>
    <dxf>
      <font>
        <color rgb="ffffffff"/>
      </font>
      <fill>
        <patternFill patternType="solid">
          <fgColor indexed="25"/>
          <bgColor indexed="21"/>
        </patternFill>
      </fill>
    </dxf>
    <dxf>
      <fill>
        <patternFill patternType="solid">
          <fgColor indexed="25"/>
          <bgColor indexed="26"/>
        </patternFill>
      </fill>
    </dxf>
    <dxf>
      <font>
        <color rgb="ffffffff"/>
      </font>
      <fill>
        <patternFill patternType="solid">
          <fgColor indexed="25"/>
          <bgColor indexed="21"/>
        </patternFill>
      </fill>
    </dxf>
    <dxf>
      <fill>
        <patternFill patternType="solid">
          <fgColor indexed="25"/>
          <bgColor indexed="22"/>
        </patternFill>
      </fill>
    </dxf>
    <dxf>
      <font>
        <color rgb="ffffffff"/>
      </font>
      <fill>
        <patternFill patternType="solid">
          <fgColor indexed="25"/>
          <bgColor indexed="21"/>
        </patternFill>
      </fill>
    </dxf>
    <dxf>
      <fill>
        <patternFill patternType="solid">
          <fgColor indexed="25"/>
          <bgColor indexed="22"/>
        </patternFill>
      </fill>
    </dxf>
    <dxf>
      <font>
        <color rgb="ffffffff"/>
      </font>
      <fill>
        <patternFill patternType="solid">
          <fgColor indexed="25"/>
          <bgColor indexed="21"/>
        </patternFill>
      </fill>
    </dxf>
    <dxf>
      <font>
        <color rgb="ffffffff"/>
      </font>
      <fill>
        <patternFill patternType="solid">
          <fgColor indexed="25"/>
          <bgColor indexed="21"/>
        </patternFill>
      </fill>
    </dxf>
    <dxf>
      <fill>
        <patternFill patternType="solid">
          <fgColor indexed="25"/>
          <bgColor indexed="26"/>
        </patternFill>
      </fill>
    </dxf>
    <dxf>
      <font>
        <color rgb="ffffffff"/>
      </font>
      <fill>
        <patternFill patternType="solid">
          <fgColor indexed="25"/>
          <bgColor indexed="21"/>
        </patternFill>
      </fill>
    </dxf>
    <dxf>
      <fill>
        <patternFill patternType="solid">
          <fgColor indexed="25"/>
          <bgColor indexed="22"/>
        </patternFill>
      </fill>
    </dxf>
    <dxf>
      <font>
        <color rgb="ffffffff"/>
      </font>
      <fill>
        <patternFill patternType="solid">
          <fgColor indexed="25"/>
          <bgColor indexed="21"/>
        </patternFill>
      </fill>
    </dxf>
    <dxf>
      <fill>
        <patternFill patternType="solid">
          <fgColor indexed="25"/>
          <bgColor indexed="22"/>
        </patternFill>
      </fill>
    </dxf>
    <dxf>
      <font>
        <color rgb="ffffffff"/>
      </font>
      <fill>
        <patternFill patternType="solid">
          <fgColor indexed="25"/>
          <bgColor indexed="21"/>
        </patternFill>
      </fill>
    </dxf>
    <dxf>
      <font>
        <color rgb="ffffffff"/>
      </font>
      <fill>
        <patternFill patternType="solid">
          <fgColor indexed="25"/>
          <bgColor indexed="21"/>
        </patternFill>
      </fill>
    </dxf>
    <dxf>
      <fill>
        <patternFill patternType="solid">
          <fgColor indexed="25"/>
          <bgColor indexed="36"/>
        </patternFill>
      </fill>
    </dxf>
    <dxf>
      <font>
        <color rgb="ffffffff"/>
      </font>
      <fill>
        <patternFill patternType="solid">
          <fgColor indexed="25"/>
          <bgColor indexed="21"/>
        </patternFill>
      </fill>
    </dxf>
    <dxf>
      <font>
        <color rgb="ff000000"/>
      </font>
      <fill>
        <patternFill patternType="solid">
          <fgColor indexed="25"/>
          <bgColor indexed="26"/>
        </patternFill>
      </fill>
    </dxf>
    <dxf>
      <font>
        <color rgb="ffffffff"/>
      </font>
      <fill>
        <patternFill patternType="solid">
          <fgColor indexed="25"/>
          <bgColor indexed="21"/>
        </patternFill>
      </fill>
    </dxf>
    <dxf>
      <font>
        <color rgb="ffffffff"/>
      </font>
      <fill>
        <patternFill patternType="solid">
          <fgColor indexed="25"/>
          <bgColor indexed="21"/>
        </patternFill>
      </fill>
    </dxf>
    <dxf>
      <font>
        <color rgb="ff000000"/>
      </font>
      <fill>
        <patternFill patternType="solid">
          <fgColor indexed="25"/>
          <bgColor indexed="26"/>
        </patternFill>
      </fill>
    </dxf>
    <dxf>
      <font>
        <color rgb="ffffffff"/>
      </font>
      <fill>
        <patternFill patternType="solid">
          <fgColor indexed="25"/>
          <bgColor indexed="21"/>
        </patternFill>
      </fill>
    </dxf>
    <dxf>
      <font>
        <color rgb="ffffffff"/>
      </font>
      <fill>
        <patternFill patternType="solid">
          <fgColor indexed="25"/>
          <bgColor indexed="21"/>
        </patternFill>
      </fill>
    </dxf>
    <dxf>
      <font>
        <color rgb="ffffffff"/>
      </font>
      <fill>
        <patternFill patternType="solid">
          <fgColor indexed="25"/>
          <bgColor indexed="21"/>
        </patternFill>
      </fill>
    </dxf>
    <dxf>
      <font>
        <color rgb="ffffffff"/>
      </font>
      <fill>
        <patternFill patternType="solid">
          <fgColor indexed="25"/>
          <bgColor indexed="21"/>
        </patternFill>
      </fill>
    </dxf>
    <dxf>
      <font>
        <color rgb="ffffffff"/>
      </font>
      <fill>
        <patternFill patternType="solid">
          <fgColor indexed="25"/>
          <bgColor indexed="21"/>
        </patternFill>
      </fill>
    </dxf>
    <dxf>
      <font>
        <color rgb="ffffffff"/>
      </font>
      <fill>
        <patternFill patternType="solid">
          <fgColor indexed="25"/>
          <bgColor indexed="21"/>
        </patternFill>
      </fill>
    </dxf>
    <dxf>
      <font>
        <color rgb="ffffffff"/>
      </font>
      <fill>
        <patternFill patternType="solid">
          <fgColor indexed="25"/>
          <bgColor indexed="21"/>
        </patternFill>
      </fill>
    </dxf>
    <dxf>
      <font>
        <color rgb="ffffffff"/>
      </font>
      <fill>
        <patternFill patternType="solid">
          <fgColor indexed="25"/>
          <bgColor indexed="21"/>
        </patternFill>
      </fill>
    </dxf>
    <dxf>
      <font>
        <color rgb="ffffffff"/>
      </font>
      <fill>
        <patternFill patternType="solid">
          <fgColor indexed="25"/>
          <bgColor indexed="21"/>
        </patternFill>
      </fill>
    </dxf>
    <dxf>
      <fill>
        <patternFill patternType="solid">
          <fgColor indexed="25"/>
          <bgColor indexed="26"/>
        </patternFill>
      </fill>
    </dxf>
    <dxf>
      <font>
        <color rgb="ffffffff"/>
      </font>
      <fill>
        <patternFill patternType="solid">
          <fgColor indexed="25"/>
          <bgColor indexed="21"/>
        </patternFill>
      </fill>
    </dxf>
    <dxf>
      <fill>
        <patternFill patternType="solid">
          <fgColor indexed="25"/>
          <bgColor indexed="22"/>
        </patternFill>
      </fill>
    </dxf>
    <dxf>
      <font>
        <color rgb="ffffffff"/>
      </font>
      <fill>
        <patternFill patternType="solid">
          <fgColor indexed="25"/>
          <bgColor indexed="21"/>
        </patternFill>
      </fill>
    </dxf>
    <dxf>
      <fill>
        <patternFill patternType="solid">
          <fgColor indexed="25"/>
          <bgColor indexed="22"/>
        </patternFill>
      </fill>
    </dxf>
    <dxf>
      <font>
        <color rgb="ffffffff"/>
      </font>
      <fill>
        <patternFill patternType="solid">
          <fgColor indexed="25"/>
          <bgColor indexed="21"/>
        </patternFill>
      </fill>
    </dxf>
    <dxf>
      <font>
        <color rgb="ffffffff"/>
      </font>
      <fill>
        <patternFill patternType="solid">
          <fgColor indexed="25"/>
          <bgColor indexed="21"/>
        </patternFill>
      </fill>
    </dxf>
    <dxf>
      <font>
        <color rgb="ffffffff"/>
      </font>
      <fill>
        <patternFill patternType="solid">
          <fgColor indexed="25"/>
          <bgColor indexed="21"/>
        </patternFill>
      </fill>
    </dxf>
    <dxf>
      <font>
        <color rgb="ffffffff"/>
      </font>
      <fill>
        <patternFill patternType="solid">
          <fgColor indexed="25"/>
          <bgColor indexed="21"/>
        </patternFill>
      </fill>
    </dxf>
    <dxf>
      <font>
        <color rgb="ffffffff"/>
      </font>
      <fill>
        <patternFill patternType="solid">
          <fgColor indexed="25"/>
          <bgColor indexed="21"/>
        </patternFill>
      </fill>
    </dxf>
    <dxf>
      <font>
        <color rgb="ff000000"/>
      </font>
      <fill>
        <patternFill patternType="solid">
          <fgColor indexed="25"/>
          <bgColor indexed="26"/>
        </patternFill>
      </fill>
    </dxf>
    <dxf>
      <font>
        <color rgb="ffffffff"/>
      </font>
      <fill>
        <patternFill patternType="solid">
          <fgColor indexed="25"/>
          <bgColor indexed="21"/>
        </patternFill>
      </fill>
    </dxf>
    <dxf>
      <fill>
        <patternFill patternType="solid">
          <fgColor indexed="25"/>
          <bgColor indexed="26"/>
        </patternFill>
      </fill>
    </dxf>
    <dxf>
      <fill>
        <patternFill patternType="solid">
          <fgColor indexed="25"/>
          <bgColor indexed="15"/>
        </patternFill>
      </fill>
    </dxf>
    <dxf>
      <font>
        <color rgb="ffffffff"/>
      </font>
      <fill>
        <patternFill patternType="solid">
          <fgColor indexed="25"/>
          <bgColor indexed="21"/>
        </patternFill>
      </fill>
    </dxf>
    <dxf>
      <font>
        <color rgb="ffffffff"/>
      </font>
      <fill>
        <patternFill patternType="solid">
          <fgColor indexed="25"/>
          <bgColor indexed="21"/>
        </patternFill>
      </fill>
    </dxf>
    <dxf>
      <fill>
        <patternFill patternType="solid">
          <fgColor indexed="25"/>
          <bgColor indexed="26"/>
        </patternFill>
      </fill>
    </dxf>
    <dxf>
      <font>
        <color rgb="ffffffff"/>
      </font>
      <fill>
        <patternFill patternType="solid">
          <fgColor indexed="25"/>
          <bgColor indexed="21"/>
        </patternFill>
      </fill>
    </dxf>
    <dxf>
      <fill>
        <patternFill patternType="solid">
          <fgColor indexed="25"/>
          <bgColor indexed="22"/>
        </patternFill>
      </fill>
    </dxf>
    <dxf>
      <font>
        <color rgb="ffffffff"/>
      </font>
      <fill>
        <patternFill patternType="solid">
          <fgColor indexed="25"/>
          <bgColor indexed="21"/>
        </patternFill>
      </fill>
    </dxf>
    <dxf>
      <fill>
        <patternFill patternType="solid">
          <fgColor indexed="25"/>
          <bgColor indexed="22"/>
        </patternFill>
      </fill>
    </dxf>
    <dxf>
      <font>
        <color rgb="ffffffff"/>
      </font>
      <fill>
        <patternFill patternType="solid">
          <fgColor indexed="25"/>
          <bgColor indexed="21"/>
        </patternFill>
      </fill>
    </dxf>
    <dxf>
      <font>
        <color rgb="ffffffff"/>
      </font>
      <fill>
        <patternFill patternType="solid">
          <fgColor indexed="25"/>
          <bgColor indexed="21"/>
        </patternFill>
      </fill>
    </dxf>
    <dxf>
      <font>
        <color rgb="ffffffff"/>
      </font>
      <fill>
        <patternFill patternType="solid">
          <fgColor indexed="25"/>
          <bgColor indexed="21"/>
        </patternFill>
      </fill>
    </dxf>
    <dxf>
      <font>
        <color rgb="ffffffff"/>
      </font>
      <fill>
        <patternFill patternType="solid">
          <fgColor indexed="25"/>
          <bgColor indexed="21"/>
        </patternFill>
      </fill>
    </dxf>
    <dxf>
      <font>
        <color rgb="ffffffff"/>
      </font>
      <fill>
        <patternFill patternType="solid">
          <fgColor indexed="25"/>
          <bgColor indexed="21"/>
        </patternFill>
      </fill>
    </dxf>
    <dxf>
      <fill>
        <patternFill patternType="solid">
          <fgColor indexed="25"/>
          <bgColor indexed="26"/>
        </patternFill>
      </fill>
    </dxf>
    <dxf>
      <font>
        <color rgb="ffffffff"/>
      </font>
      <fill>
        <patternFill patternType="solid">
          <fgColor indexed="25"/>
          <bgColor indexed="21"/>
        </patternFill>
      </fill>
    </dxf>
    <dxf>
      <fill>
        <patternFill patternType="solid">
          <fgColor indexed="25"/>
          <bgColor indexed="22"/>
        </patternFill>
      </fill>
    </dxf>
    <dxf>
      <font>
        <color rgb="ffffffff"/>
      </font>
      <fill>
        <patternFill patternType="solid">
          <fgColor indexed="25"/>
          <bgColor indexed="21"/>
        </patternFill>
      </fill>
    </dxf>
    <dxf>
      <fill>
        <patternFill patternType="solid">
          <fgColor indexed="25"/>
          <bgColor indexed="22"/>
        </patternFill>
      </fill>
    </dxf>
    <dxf>
      <font>
        <color rgb="ffffffff"/>
      </font>
      <fill>
        <patternFill patternType="solid">
          <fgColor indexed="25"/>
          <bgColor indexed="21"/>
        </patternFill>
      </fill>
    </dxf>
    <dxf>
      <font>
        <color rgb="ffffffff"/>
      </font>
      <fill>
        <patternFill patternType="solid">
          <fgColor indexed="25"/>
          <bgColor indexed="21"/>
        </patternFill>
      </fill>
    </dxf>
    <dxf>
      <font>
        <color rgb="ff000000"/>
      </font>
      <fill>
        <patternFill patternType="solid">
          <fgColor indexed="25"/>
          <bgColor indexed="26"/>
        </patternFill>
      </fill>
    </dxf>
    <dxf>
      <font>
        <color rgb="ffffffff"/>
      </font>
      <fill>
        <patternFill patternType="solid">
          <fgColor indexed="25"/>
          <bgColor indexed="21"/>
        </patternFill>
      </fill>
    </dxf>
    <dxf>
      <font>
        <color rgb="ffffffff"/>
      </font>
      <fill>
        <patternFill patternType="solid">
          <fgColor indexed="25"/>
          <bgColor indexed="21"/>
        </patternFill>
      </fill>
    </dxf>
    <dxf>
      <font>
        <color rgb="ff000000"/>
      </font>
      <fill>
        <patternFill patternType="solid">
          <fgColor indexed="25"/>
          <bgColor indexed="26"/>
        </patternFill>
      </fill>
    </dxf>
    <dxf>
      <font>
        <color rgb="ffffffff"/>
      </font>
      <fill>
        <patternFill patternType="solid">
          <fgColor indexed="25"/>
          <bgColor indexed="21"/>
        </patternFill>
      </fill>
    </dxf>
    <dxf>
      <font>
        <color rgb="ff000000"/>
      </font>
      <fill>
        <patternFill patternType="solid">
          <fgColor indexed="25"/>
          <bgColor indexed="26"/>
        </patternFill>
      </fill>
    </dxf>
    <dxf>
      <font>
        <color rgb="ffffffff"/>
      </font>
      <fill>
        <patternFill patternType="solid">
          <fgColor indexed="25"/>
          <bgColor indexed="21"/>
        </patternFill>
      </fill>
    </dxf>
    <dxf>
      <font>
        <color rgb="ff000000"/>
      </font>
      <fill>
        <patternFill patternType="solid">
          <fgColor indexed="25"/>
          <bgColor indexed="26"/>
        </patternFill>
      </fill>
    </dxf>
    <dxf>
      <font>
        <color rgb="ff000000"/>
      </font>
      <fill>
        <patternFill patternType="solid">
          <fgColor indexed="25"/>
          <bgColor indexed="22"/>
        </patternFill>
      </fill>
    </dxf>
    <dxf>
      <font>
        <color rgb="ffffffff"/>
      </font>
      <fill>
        <patternFill patternType="solid">
          <fgColor indexed="25"/>
          <bgColor indexed="21"/>
        </patternFill>
      </fill>
    </dxf>
    <dxf>
      <font>
        <color rgb="ff000000"/>
      </font>
      <fill>
        <patternFill patternType="solid">
          <fgColor indexed="25"/>
          <bgColor indexed="26"/>
        </patternFill>
      </fill>
    </dxf>
    <dxf>
      <font>
        <color rgb="ff000000"/>
      </font>
      <fill>
        <patternFill patternType="solid">
          <fgColor indexed="25"/>
          <bgColor indexed="22"/>
        </patternFill>
      </fill>
    </dxf>
    <dxf>
      <font>
        <color rgb="ff000000"/>
      </font>
      <fill>
        <patternFill patternType="solid">
          <fgColor indexed="25"/>
          <bgColor indexed="26"/>
        </patternFill>
      </fill>
    </dxf>
    <dxf>
      <font>
        <color rgb="ff000000"/>
      </font>
      <fill>
        <patternFill patternType="solid">
          <fgColor indexed="25"/>
          <bgColor indexed="22"/>
        </patternFill>
      </fill>
    </dxf>
    <dxf>
      <font>
        <color rgb="ffffffff"/>
      </font>
      <fill>
        <patternFill patternType="solid">
          <fgColor indexed="25"/>
          <bgColor indexed="21"/>
        </patternFill>
      </fill>
    </dxf>
    <dxf>
      <font>
        <color rgb="ffffffff"/>
      </font>
      <fill>
        <patternFill patternType="solid">
          <fgColor indexed="25"/>
          <bgColor indexed="21"/>
        </patternFill>
      </fill>
    </dxf>
    <dxf>
      <font>
        <color rgb="ff000000"/>
      </font>
      <fill>
        <patternFill patternType="solid">
          <fgColor indexed="25"/>
          <bgColor indexed="26"/>
        </patternFill>
      </fill>
    </dxf>
    <dxf>
      <font>
        <color rgb="ff0c0c0c"/>
      </font>
      <fill>
        <patternFill patternType="solid">
          <fgColor indexed="25"/>
          <bgColor indexed="22"/>
        </patternFill>
      </fill>
    </dxf>
    <dxf>
      <font>
        <color rgb="ffffffff"/>
      </font>
      <fill>
        <patternFill patternType="solid">
          <fgColor indexed="25"/>
          <bgColor indexed="21"/>
        </patternFill>
      </fill>
    </dxf>
    <dxf>
      <font>
        <color rgb="ff000000"/>
      </font>
      <fill>
        <patternFill patternType="solid">
          <fgColor indexed="25"/>
          <bgColor indexed="26"/>
        </patternFill>
      </fill>
    </dxf>
    <dxf>
      <font>
        <color rgb="ffffffff"/>
      </font>
      <fill>
        <patternFill patternType="solid">
          <fgColor indexed="25"/>
          <bgColor indexed="21"/>
        </patternFill>
      </fill>
    </dxf>
    <dxf>
      <font>
        <color rgb="ffffffff"/>
      </font>
      <fill>
        <patternFill patternType="solid">
          <fgColor indexed="25"/>
          <bgColor indexed="21"/>
        </patternFill>
      </fill>
    </dxf>
    <dxf>
      <font>
        <color rgb="ff000000"/>
      </font>
      <fill>
        <patternFill patternType="solid">
          <fgColor indexed="25"/>
          <bgColor indexed="26"/>
        </patternFill>
      </fill>
    </dxf>
    <dxf>
      <font>
        <color rgb="ff000000"/>
      </font>
      <fill>
        <patternFill patternType="solid">
          <fgColor indexed="25"/>
          <bgColor indexed="26"/>
        </patternFill>
      </fill>
    </dxf>
    <dxf>
      <font>
        <color rgb="ff000000"/>
      </font>
      <fill>
        <patternFill patternType="solid">
          <fgColor indexed="25"/>
          <bgColor indexed="22"/>
        </patternFill>
      </fill>
    </dxf>
    <dxf>
      <font>
        <color rgb="ffffffff"/>
      </font>
      <fill>
        <patternFill patternType="solid">
          <fgColor indexed="25"/>
          <bgColor indexed="21"/>
        </patternFill>
      </fill>
    </dxf>
    <dxf>
      <font>
        <color rgb="ffffffff"/>
      </font>
      <fill>
        <patternFill patternType="solid">
          <fgColor indexed="25"/>
          <bgColor indexed="21"/>
        </patternFill>
      </fill>
    </dxf>
    <dxf>
      <font>
        <color rgb="ff000000"/>
      </font>
      <fill>
        <patternFill patternType="solid">
          <fgColor indexed="25"/>
          <bgColor indexed="26"/>
        </patternFill>
      </fill>
    </dxf>
    <dxf>
      <font>
        <color rgb="ff000000"/>
      </font>
      <fill>
        <patternFill patternType="solid">
          <fgColor indexed="25"/>
          <bgColor indexed="26"/>
        </patternFill>
      </fill>
    </dxf>
    <dxf>
      <font>
        <color rgb="ff000000"/>
      </font>
      <fill>
        <patternFill patternType="solid">
          <fgColor indexed="25"/>
          <bgColor indexed="22"/>
        </patternFill>
      </fill>
    </dxf>
    <dxf>
      <font>
        <color rgb="ffffffff"/>
      </font>
      <fill>
        <patternFill patternType="solid">
          <fgColor indexed="25"/>
          <bgColor indexed="21"/>
        </patternFill>
      </fill>
    </dxf>
    <dxf>
      <font>
        <color rgb="ffffffff"/>
      </font>
      <fill>
        <patternFill patternType="solid">
          <fgColor indexed="25"/>
          <bgColor indexed="21"/>
        </patternFill>
      </fill>
    </dxf>
    <dxf>
      <font>
        <color rgb="ff000000"/>
      </font>
      <fill>
        <patternFill patternType="solid">
          <fgColor indexed="25"/>
          <bgColor indexed="26"/>
        </patternFill>
      </fill>
    </dxf>
    <dxf>
      <font>
        <color rgb="ff0c0c0c"/>
      </font>
      <fill>
        <patternFill patternType="solid">
          <fgColor indexed="25"/>
          <bgColor indexed="22"/>
        </patternFill>
      </fill>
    </dxf>
    <dxf>
      <font>
        <color rgb="ff000000"/>
      </font>
      <fill>
        <patternFill patternType="solid">
          <fgColor indexed="25"/>
          <bgColor indexed="26"/>
        </patternFill>
      </fill>
    </dxf>
    <dxf>
      <font>
        <color rgb="ffffffff"/>
      </font>
      <fill>
        <patternFill patternType="solid">
          <fgColor indexed="25"/>
          <bgColor indexed="21"/>
        </patternFill>
      </fill>
    </dxf>
    <dxf>
      <font>
        <color rgb="ff000000"/>
      </font>
      <fill>
        <patternFill patternType="solid">
          <fgColor indexed="25"/>
          <bgColor indexed="22"/>
        </patternFill>
      </fill>
    </dxf>
    <dxf>
      <font>
        <color rgb="ff000000"/>
      </font>
      <fill>
        <patternFill patternType="solid">
          <fgColor indexed="25"/>
          <bgColor indexed="26"/>
        </patternFill>
      </fill>
    </dxf>
    <dxf>
      <font>
        <color rgb="ff000000"/>
      </font>
      <fill>
        <patternFill patternType="solid">
          <fgColor indexed="25"/>
          <bgColor indexed="45"/>
        </patternFill>
      </fill>
    </dxf>
    <dxf>
      <font>
        <color rgb="ffffffff"/>
      </font>
      <fill>
        <patternFill patternType="solid">
          <fgColor indexed="25"/>
          <bgColor indexed="21"/>
        </patternFill>
      </fill>
    </dxf>
    <dxf>
      <font>
        <color rgb="ff0c0c0c"/>
      </font>
      <fill>
        <patternFill patternType="solid">
          <fgColor indexed="25"/>
          <bgColor indexed="22"/>
        </patternFill>
      </fill>
    </dxf>
    <dxf>
      <font>
        <color rgb="ff000000"/>
      </font>
      <fill>
        <patternFill patternType="solid">
          <fgColor indexed="25"/>
          <bgColor indexed="26"/>
        </patternFill>
      </fill>
    </dxf>
    <dxf>
      <font>
        <color rgb="ffffffff"/>
      </font>
      <fill>
        <patternFill patternType="solid">
          <fgColor indexed="25"/>
          <bgColor indexed="21"/>
        </patternFill>
      </fill>
    </dxf>
    <dxf>
      <fill>
        <patternFill patternType="solid">
          <fgColor indexed="25"/>
          <bgColor indexed="45"/>
        </patternFill>
      </fill>
    </dxf>
    <dxf>
      <font>
        <color rgb="ff000000"/>
      </font>
      <fill>
        <patternFill patternType="solid">
          <fgColor indexed="25"/>
          <bgColor indexed="22"/>
        </patternFill>
      </fill>
    </dxf>
    <dxf>
      <font>
        <color rgb="ff000000"/>
      </font>
      <fill>
        <patternFill patternType="solid">
          <fgColor indexed="25"/>
          <bgColor indexed="26"/>
        </patternFill>
      </fill>
    </dxf>
    <dxf>
      <font>
        <color rgb="ff000000"/>
      </font>
      <fill>
        <patternFill patternType="solid">
          <fgColor indexed="25"/>
          <bgColor indexed="45"/>
        </patternFill>
      </fill>
    </dxf>
    <dxf>
      <font>
        <color rgb="ffffffff"/>
      </font>
      <fill>
        <patternFill patternType="solid">
          <fgColor indexed="25"/>
          <bgColor indexed="21"/>
        </patternFill>
      </fill>
    </dxf>
    <dxf>
      <font>
        <color rgb="ff000000"/>
      </font>
      <fill>
        <patternFill patternType="solid">
          <fgColor indexed="25"/>
          <bgColor indexed="22"/>
        </patternFill>
      </fill>
    </dxf>
    <dxf>
      <font>
        <color rgb="ff000000"/>
      </font>
      <fill>
        <patternFill patternType="solid">
          <fgColor indexed="25"/>
          <bgColor indexed="26"/>
        </patternFill>
      </fill>
    </dxf>
    <dxf>
      <font>
        <color rgb="ff000000"/>
      </font>
      <fill>
        <patternFill patternType="solid">
          <fgColor indexed="25"/>
          <bgColor indexed="45"/>
        </patternFill>
      </fill>
    </dxf>
    <dxf>
      <font>
        <color rgb="ffffffff"/>
      </font>
      <fill>
        <patternFill patternType="solid">
          <fgColor indexed="25"/>
          <bgColor indexed="21"/>
        </patternFill>
      </fill>
    </dxf>
    <dxf>
      <font>
        <color rgb="ffffffff"/>
      </font>
      <fill>
        <patternFill patternType="solid">
          <fgColor indexed="25"/>
          <bgColor indexed="21"/>
        </patternFill>
      </fill>
    </dxf>
    <dxf>
      <font>
        <color rgb="ffffffff"/>
      </font>
      <fill>
        <patternFill patternType="solid">
          <fgColor indexed="25"/>
          <bgColor indexed="21"/>
        </patternFill>
      </fill>
    </dxf>
    <dxf>
      <font>
        <color rgb="ffffffff"/>
      </font>
      <fill>
        <patternFill patternType="solid">
          <fgColor indexed="25"/>
          <bgColor indexed="21"/>
        </patternFill>
      </fill>
    </dxf>
    <dxf>
      <font>
        <color rgb="ffffffff"/>
      </font>
      <fill>
        <patternFill patternType="solid">
          <fgColor indexed="25"/>
          <bgColor indexed="21"/>
        </patternFill>
      </fill>
    </dxf>
  </dxfs>
  <tableStyles count="0"/>
  <colors>
    <indexedColors>
      <rgbColor rgb="ff000000"/>
      <rgbColor rgb="ffffffff"/>
      <rgbColor rgb="ffff0000"/>
      <rgbColor rgb="ff00ff00"/>
      <rgbColor rgb="ff0000ff"/>
      <rgbColor rgb="ffffff00"/>
      <rgbColor rgb="ffff00ff"/>
      <rgbColor rgb="ff00ffff"/>
      <rgbColor rgb="ff000000"/>
      <rgbColor rgb="ff5e88b1"/>
      <rgbColor rgb="ffeef3f4"/>
      <rgbColor rgb="ff0000ff"/>
      <rgbColor rgb="fff2f0d9"/>
      <rgbColor rgb="ffaaaaaa"/>
      <rgbColor rgb="ffff0000"/>
      <rgbColor rgb="ffffffff"/>
      <rgbColor rgb="fff2f2f2"/>
      <rgbColor rgb="ffbdd7ee"/>
      <rgbColor rgb="ffffff99"/>
      <rgbColor rgb="ff305496"/>
      <rgbColor rgb="ff005e5c"/>
      <rgbColor rgb="ffc00000"/>
      <rgbColor rgb="ffffc000"/>
      <rgbColor rgb="ff7b7b7b"/>
      <rgbColor rgb="ff335593"/>
      <rgbColor rgb="00000000"/>
      <rgbColor rgb="ffa9cd90"/>
      <rgbColor rgb="ff9c5700"/>
      <rgbColor rgb="ffd9e2f3"/>
      <rgbColor rgb="ffffe598"/>
      <rgbColor rgb="ffd8d8d8"/>
      <rgbColor rgb="ffc5deb5"/>
      <rgbColor rgb="ff92d050"/>
      <rgbColor rgb="ffb4c6e7"/>
      <rgbColor rgb="ffe2eeda"/>
      <rgbColor rgb="ffff5050"/>
      <rgbColor rgb="fff7caac"/>
      <rgbColor rgb="fff2ead9"/>
      <rgbColor rgb="ffadacac"/>
      <rgbColor rgb="ffffccff"/>
      <rgbColor rgb="ffe2c4a6"/>
      <rgbColor rgb="ffd9dce1"/>
      <rgbColor rgb="ffdeeaf6"/>
      <rgbColor rgb="ffffff00"/>
      <rgbColor rgb="ff0c0c0c"/>
      <rgbColor rgb="ffbfbfbf"/>
      <rgbColor rgb="ff44749f"/>
      <rgbColor rgb="ff595959"/>
      <rgbColor rgb="ff3c64ad"/>
      <rgbColor rgb="ff8da0d3"/>
      <rgbColor rgb="ff4472c4"/>
      <rgbColor rgb="ffffddff"/>
      <rgbColor rgb="ffed7d31"/>
      <rgbColor rgb="fff4b083"/>
      <rgbColor rgb="ffffd965"/>
      <rgbColor rgb="ff8eaadb"/>
    </indexedColors>
  </colors>
</styleSheet>
</file>

<file path=xl/_rels/workbook.xml.rels><?xml version="1.0" encoding="UTF-8"?>
<Relationships xmlns="http://schemas.openxmlformats.org/package/2006/relationships"><Relationship Id="rId1" Type="http://schemas.openxmlformats.org/officeDocument/2006/relationships/sharedStrings" Target="sharedStrings.xml"/><Relationship Id="rId2" Type="http://schemas.openxmlformats.org/officeDocument/2006/relationships/styles" Target="styles.xml"/><Relationship Id="rId3" Type="http://schemas.openxmlformats.org/officeDocument/2006/relationships/theme" Target="theme/theme1.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 Id="rId9" Type="http://schemas.openxmlformats.org/officeDocument/2006/relationships/worksheet" Target="worksheets/sheet6.xml"/><Relationship Id="rId10" Type="http://schemas.openxmlformats.org/officeDocument/2006/relationships/worksheet" Target="worksheets/sheet7.xml"/><Relationship Id="rId11" Type="http://schemas.openxmlformats.org/officeDocument/2006/relationships/worksheet" Target="worksheets/sheet8.xml"/><Relationship Id="rId12" Type="http://schemas.openxmlformats.org/officeDocument/2006/relationships/worksheet" Target="worksheets/sheet9.xml"/><Relationship Id="rId13" Type="http://schemas.openxmlformats.org/officeDocument/2006/relationships/worksheet" Target="worksheets/sheet10.xml"/><Relationship Id="rId14" Type="http://schemas.openxmlformats.org/officeDocument/2006/relationships/worksheet" Target="worksheets/sheet11.xml"/><Relationship Id="rId15" Type="http://schemas.openxmlformats.org/officeDocument/2006/relationships/worksheet" Target="worksheets/sheet12.xml"/><Relationship Id="rId16" Type="http://schemas.openxmlformats.org/officeDocument/2006/relationships/worksheet" Target="worksheets/sheet13.xml"/><Relationship Id="rId17"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c:date1904 val="0"/>
  <c:roundedCorners val="0"/>
  <c:chart>
    <c:autoTitleDeleted val="1"/>
    <c:plotArea>
      <c:layout>
        <c:manualLayout>
          <c:layoutTarget val="inner"/>
          <c:xMode val="edge"/>
          <c:yMode val="edge"/>
          <c:x val="0.0335928"/>
          <c:y val="0.0402894"/>
          <c:w val="0.961407"/>
          <c:h val="0.828385"/>
        </c:manualLayout>
      </c:layout>
      <c:barChart>
        <c:barDir val="col"/>
        <c:grouping val="clustered"/>
        <c:varyColors val="0"/>
        <c:ser>
          <c:idx val="0"/>
          <c:order val="0"/>
          <c:tx>
            <c:strRef>
              <c:f>'8. Headline Results'!$C$35</c:f>
              <c:strCache>
                <c:ptCount val="1"/>
                <c:pt idx="0">
                  <c:v>Baseline</c:v>
                </c:pt>
              </c:strCache>
            </c:strRef>
          </c:tx>
          <c:spPr>
            <a:solidFill>
              <a:srgbClr val="3C65AD"/>
            </a:solidFill>
            <a:ln w="12700" cap="flat">
              <a:noFill/>
              <a:miter lim="400000"/>
            </a:ln>
            <a:effectLst/>
          </c:spPr>
          <c:invertIfNegative val="0"/>
          <c:dLbls>
            <c:numFmt formatCode="0.00" sourceLinked="0"/>
            <c:txPr>
              <a:bodyPr/>
              <a:lstStyle/>
              <a:p>
                <a:pPr>
                  <a:defRPr b="0" i="0" strike="noStrike" sz="1000" u="none">
                    <a:solidFill>
                      <a:srgbClr val="000000"/>
                    </a:solidFill>
                    <a:latin typeface="Calibri"/>
                  </a:defRPr>
                </a:pPr>
              </a:p>
            </c:txPr>
            <c:dLblPos val="outEnd"/>
            <c:showLegendKey val="0"/>
            <c:showVal val="0"/>
            <c:showCatName val="0"/>
            <c:showSerName val="0"/>
            <c:showPercent val="0"/>
            <c:showBubbleSize val="0"/>
            <c:showLeaderLines val="0"/>
          </c:dLbls>
          <c:cat>
            <c:strRef>
              <c:f>'8. Headline Results'!$C$15:$C$17</c:f>
              <c:strCache>
                <c:ptCount val="3"/>
                <c:pt idx="0">
                  <c:v>Habitat units</c:v>
                </c:pt>
                <c:pt idx="1">
                  <c:v>Hedgerow units</c:v>
                </c:pt>
                <c:pt idx="2">
                  <c:v>Watercourse units</c:v>
                </c:pt>
              </c:strCache>
            </c:strRef>
          </c:cat>
          <c:val>
            <c:numRef>
              <c:f>'8. Headline Results'!$C$36:$C$38</c:f>
              <c:numCache>
                <c:ptCount val="3"/>
                <c:pt idx="0">
                  <c:v>0.000000</c:v>
                </c:pt>
                <c:pt idx="1">
                  <c:v>0.000000</c:v>
                </c:pt>
                <c:pt idx="2">
                  <c:v>0.000000</c:v>
                </c:pt>
              </c:numCache>
            </c:numRef>
          </c:val>
        </c:ser>
        <c:ser>
          <c:idx val="1"/>
          <c:order val="1"/>
          <c:tx>
            <c:strRef>
              <c:f>'8. Headline Results'!$D$35</c:f>
              <c:strCache>
                <c:ptCount val="1"/>
                <c:pt idx="0">
                  <c:v>Provision</c:v>
                </c:pt>
              </c:strCache>
            </c:strRef>
          </c:tx>
          <c:spPr>
            <a:solidFill>
              <a:srgbClr val="8DA0D3"/>
            </a:solidFill>
            <a:ln w="12700" cap="flat">
              <a:noFill/>
              <a:miter lim="400000"/>
            </a:ln>
            <a:effectLst/>
          </c:spPr>
          <c:invertIfNegative val="0"/>
          <c:dLbls>
            <c:numFmt formatCode="0.00" sourceLinked="0"/>
            <c:txPr>
              <a:bodyPr/>
              <a:lstStyle/>
              <a:p>
                <a:pPr>
                  <a:defRPr b="0" i="0" strike="noStrike" sz="1000" u="none">
                    <a:solidFill>
                      <a:srgbClr val="000000"/>
                    </a:solidFill>
                    <a:latin typeface="Calibri"/>
                  </a:defRPr>
                </a:pPr>
              </a:p>
            </c:txPr>
            <c:dLblPos val="outEnd"/>
            <c:showLegendKey val="0"/>
            <c:showVal val="0"/>
            <c:showCatName val="0"/>
            <c:showSerName val="0"/>
            <c:showPercent val="0"/>
            <c:showBubbleSize val="0"/>
            <c:showLeaderLines val="0"/>
          </c:dLbls>
          <c:cat>
            <c:strRef>
              <c:f>'8. Headline Results'!$C$15:$C$17</c:f>
              <c:strCache>
                <c:ptCount val="3"/>
                <c:pt idx="0">
                  <c:v>Habitat units</c:v>
                </c:pt>
                <c:pt idx="1">
                  <c:v>Hedgerow units</c:v>
                </c:pt>
                <c:pt idx="2">
                  <c:v>Watercourse units</c:v>
                </c:pt>
              </c:strCache>
            </c:strRef>
          </c:cat>
          <c:val>
            <c:numRef>
              <c:f>'8. Headline Results'!$D$36:$D$38</c:f>
              <c:numCache>
                <c:ptCount val="3"/>
                <c:pt idx="0">
                  <c:v>0.000238</c:v>
                </c:pt>
                <c:pt idx="1">
                  <c:v>0.000000</c:v>
                </c:pt>
                <c:pt idx="2">
                  <c:v>0.000000</c:v>
                </c:pt>
              </c:numCache>
            </c:numRef>
          </c:val>
        </c:ser>
        <c:gapWidth val="219"/>
        <c:overlap val="-27"/>
        <c:axId val="2094734552"/>
        <c:axId val="2094734553"/>
      </c:barChart>
      <c:catAx>
        <c:axId val="2094734552"/>
        <c:scaling>
          <c:orientation val="minMax"/>
        </c:scaling>
        <c:delete val="0"/>
        <c:axPos val="b"/>
        <c:numFmt formatCode="General" sourceLinked="1"/>
        <c:majorTickMark val="none"/>
        <c:minorTickMark val="none"/>
        <c:tickLblPos val="low"/>
        <c:spPr>
          <a:ln w="12700" cap="flat">
            <a:solidFill>
              <a:srgbClr val="D9D9D9"/>
            </a:solidFill>
            <a:prstDash val="solid"/>
            <a:round/>
          </a:ln>
        </c:spPr>
        <c:txPr>
          <a:bodyPr rot="0"/>
          <a:lstStyle/>
          <a:p>
            <a:pPr>
              <a:defRPr b="0" i="0" strike="noStrike" sz="1400" u="none">
                <a:solidFill>
                  <a:srgbClr val="595959"/>
                </a:solidFill>
                <a:latin typeface="Calibri"/>
              </a:defRPr>
            </a:pPr>
          </a:p>
        </c:txPr>
        <c:crossAx val="2094734553"/>
        <c:crosses val="autoZero"/>
        <c:auto val="1"/>
        <c:lblAlgn val="ctr"/>
        <c:noMultiLvlLbl val="1"/>
      </c:catAx>
      <c:valAx>
        <c:axId val="2094734553"/>
        <c:scaling>
          <c:orientation val="minMax"/>
        </c:scaling>
        <c:delete val="0"/>
        <c:axPos val="l"/>
        <c:majorGridlines>
          <c:spPr>
            <a:ln w="12700" cap="flat">
              <a:solidFill>
                <a:srgbClr val="D9D9D9"/>
              </a:solidFill>
              <a:prstDash val="solid"/>
              <a:round/>
            </a:ln>
          </c:spPr>
        </c:majorGridlines>
        <c:numFmt formatCode="General" sourceLinked="1"/>
        <c:majorTickMark val="none"/>
        <c:minorTickMark val="none"/>
        <c:tickLblPos val="nextTo"/>
        <c:spPr>
          <a:ln w="12700" cap="flat">
            <a:noFill/>
            <a:prstDash val="solid"/>
            <a:round/>
          </a:ln>
        </c:spPr>
        <c:txPr>
          <a:bodyPr rot="0"/>
          <a:lstStyle/>
          <a:p>
            <a:pPr>
              <a:defRPr b="0" i="0" strike="noStrike" sz="1200" u="none">
                <a:solidFill>
                  <a:srgbClr val="595959"/>
                </a:solidFill>
                <a:latin typeface="Calibri"/>
              </a:defRPr>
            </a:pPr>
          </a:p>
        </c:txPr>
        <c:crossAx val="2094734552"/>
        <c:crosses val="autoZero"/>
        <c:crossBetween val="between"/>
        <c:majorUnit val="7.5e-05"/>
        <c:minorUnit val="3.75e-05"/>
      </c:valAx>
      <c:spPr>
        <a:noFill/>
        <a:ln w="12700" cap="flat">
          <a:noFill/>
          <a:miter lim="400000"/>
        </a:ln>
        <a:effectLst/>
      </c:spPr>
    </c:plotArea>
    <c:legend>
      <c:legendPos val="b"/>
      <c:layout>
        <c:manualLayout>
          <c:xMode val="edge"/>
          <c:yMode val="edge"/>
          <c:x val="0.324615"/>
          <c:y val="0.947211"/>
          <c:w val="0.347582"/>
          <c:h val="0.0527894"/>
        </c:manualLayout>
      </c:layout>
      <c:overlay val="1"/>
      <c:spPr>
        <a:noFill/>
        <a:ln w="12700" cap="flat">
          <a:noFill/>
          <a:miter lim="400000"/>
        </a:ln>
        <a:effectLst/>
      </c:spPr>
      <c:txPr>
        <a:bodyPr rot="0"/>
        <a:lstStyle/>
        <a:p>
          <a:pPr>
            <a:defRPr b="0" i="0" strike="noStrike" sz="1400" u="none">
              <a:solidFill>
                <a:srgbClr val="595959"/>
              </a:solidFill>
              <a:latin typeface="Calibri"/>
            </a:defRPr>
          </a:pPr>
        </a:p>
      </c:txPr>
    </c:legend>
    <c:plotVisOnly val="1"/>
    <c:dispBlanksAs val="gap"/>
  </c:chart>
  <c:spPr>
    <a:solidFill>
      <a:srgbClr val="FFFFFF"/>
    </a:solidFill>
    <a:ln w="12700" cap="flat">
      <a:solidFill>
        <a:srgbClr val="D9D9D9"/>
      </a:solidFill>
      <a:prstDash val="solid"/>
      <a:round/>
    </a:ln>
    <a:effectLst/>
  </c:spPr>
</c:chartSpace>
</file>

<file path=xl/drawings/_rels/drawing1.xml.rels><?xml version="1.0" encoding="UTF-8"?>
<Relationships xmlns="http://schemas.openxmlformats.org/package/2006/relationships"><Relationship Id="rId1" Type="http://schemas.openxmlformats.org/officeDocument/2006/relationships/image" Target="../media/image1.png"/></Relationships>

</file>

<file path=xl/drawings/_rels/drawing2.xml.rels><?xml version="1.0" encoding="UTF-8"?>
<Relationships xmlns="http://schemas.openxmlformats.org/package/2006/relationships"><Relationship Id="rId1" Type="http://schemas.openxmlformats.org/officeDocument/2006/relationships/image" Target="../media/image1.jpeg"/><Relationship Id="rId2" Type="http://schemas.openxmlformats.org/officeDocument/2006/relationships/image" Target="../media/image2.jpeg"/></Relationships>

</file>

<file path=xl/drawings/_rels/drawing3.xml.rels><?xml version="1.0" encoding="UTF-8"?>
<Relationships xmlns="http://schemas.openxmlformats.org/package/2006/relationships"><Relationship Id="rId1" Type="http://schemas.openxmlformats.org/officeDocument/2006/relationships/chart" Target="../charts/chart1.xml"/></Relationships>

</file>

<file path=xl/drawings/drawing1.xml><?xml version="1.0" encoding="utf-8"?>
<xdr:wsDr xmlns:r="http://schemas.openxmlformats.org/officeDocument/2006/relationships" xmlns:a="http://schemas.openxmlformats.org/drawingml/2006/main" xmlns:m="http://schemas.openxmlformats.org/officeDocument/2006/math" xmlns:a14="http://schemas.microsoft.com/office/drawing/2010/main" xmlns:xdr="http://schemas.openxmlformats.org/drawingml/2006/spreadsheetDrawing">
  <xdr:twoCellAnchor>
    <xdr:from>
      <xdr:col>9</xdr:col>
      <xdr:colOff>485620</xdr:colOff>
      <xdr:row>24</xdr:row>
      <xdr:rowOff>56678</xdr:rowOff>
    </xdr:from>
    <xdr:to>
      <xdr:col>12</xdr:col>
      <xdr:colOff>523475</xdr:colOff>
      <xdr:row>25</xdr:row>
      <xdr:rowOff>5957</xdr:rowOff>
    </xdr:to>
    <xdr:sp>
      <xdr:nvSpPr>
        <xdr:cNvPr id="2" name="TextBox 4"/>
        <xdr:cNvSpPr txBox="1"/>
      </xdr:nvSpPr>
      <xdr:spPr>
        <a:xfrm>
          <a:off x="6657820" y="5802158"/>
          <a:ext cx="2501656" cy="304245"/>
        </a:xfrm>
        <a:prstGeom prst="rect">
          <a:avLst/>
        </a:prstGeom>
        <a:noFill/>
        <a:ln w="12700" cap="flat">
          <a:noFill/>
          <a:miter lim="400000"/>
        </a:ln>
        <a:effectLst/>
        <a:extLst>
          <a:ext uri="{C572A759-6A51-4108-AA02-DFA0A04FC94B}">
            <ma14:wrappingTextBoxFlag xmlns:ma14="http://schemas.microsoft.com/office/mac/drawingml/2011/main" val="1"/>
          </a:ext>
        </a:extLst>
      </xdr:spPr>
      <xdr:txBody>
        <a:bodyPr wrap="square" lIns="45719" tIns="45719" rIns="45719" bIns="45719" numCol="1" anchor="t">
          <a:noAutofit/>
        </a:bodyPr>
        <a:lstStyle/>
        <a:p>
          <a:pPr marL="0" marR="0" indent="0" algn="l" defTabSz="914400" latinLnBrk="0">
            <a:lnSpc>
              <a:spcPct val="100000"/>
            </a:lnSpc>
            <a:spcBef>
              <a:spcPts val="0"/>
            </a:spcBef>
            <a:spcAft>
              <a:spcPts val="0"/>
            </a:spcAft>
            <a:buClrTx/>
            <a:buSzTx/>
            <a:buFontTx/>
            <a:buNone/>
            <a:defRPr b="0" baseline="0" cap="none" i="0" spc="0" strike="noStrike" sz="1100" u="none">
              <a:solidFill>
                <a:srgbClr val="000000"/>
              </a:solidFill>
              <a:uFillTx/>
              <a:latin typeface="Calibri"/>
              <a:ea typeface="Calibri"/>
              <a:cs typeface="Calibri"/>
              <a:sym typeface="Calibri"/>
            </a:defRPr>
          </a:pPr>
          <a:r>
            <a:rPr b="0" baseline="0" cap="none" i="0" spc="0" strike="noStrike" sz="1100" u="none">
              <a:solidFill>
                <a:srgbClr val="000000"/>
              </a:solidFill>
              <a:uFillTx/>
              <a:latin typeface="Calibri"/>
              <a:ea typeface="Calibri"/>
              <a:cs typeface="Calibri"/>
              <a:sym typeface="Calibri"/>
            </a:rPr>
            <a:t>©  Natural England/Margaret Nieke 2012</a:t>
          </a:r>
        </a:p>
      </xdr:txBody>
    </xdr:sp>
    <xdr:clientData/>
  </xdr:twoCellAnchor>
  <xdr:twoCellAnchor>
    <xdr:from>
      <xdr:col>9</xdr:col>
      <xdr:colOff>504825</xdr:colOff>
      <xdr:row>0</xdr:row>
      <xdr:rowOff>0</xdr:rowOff>
    </xdr:from>
    <xdr:to>
      <xdr:col>17</xdr:col>
      <xdr:colOff>409575</xdr:colOff>
      <xdr:row>22</xdr:row>
      <xdr:rowOff>41275</xdr:rowOff>
    </xdr:to>
    <xdr:pic>
      <xdr:nvPicPr>
        <xdr:cNvPr id="3" name="Picture 5" descr="Picture 5"/>
        <xdr:cNvPicPr>
          <a:picLocks noChangeAspect="1"/>
        </xdr:cNvPicPr>
      </xdr:nvPicPr>
      <xdr:blipFill>
        <a:blip r:embed="rId1">
          <a:extLst/>
        </a:blip>
        <a:stretch>
          <a:fillRect/>
        </a:stretch>
      </xdr:blipFill>
      <xdr:spPr>
        <a:xfrm>
          <a:off x="6677025" y="0"/>
          <a:ext cx="5734050" cy="5419725"/>
        </a:xfrm>
        <a:prstGeom prst="rect">
          <a:avLst/>
        </a:prstGeom>
        <a:ln w="12700" cap="flat">
          <a:noFill/>
          <a:miter lim="400000"/>
        </a:ln>
        <a:effectLst/>
      </xdr:spPr>
    </xdr:pic>
    <xdr:clientData/>
  </xdr:twoCellAnchor>
</xdr:wsDr>
</file>

<file path=xl/drawings/drawing2.xml><?xml version="1.0" encoding="utf-8"?>
<xdr:wsDr xmlns:r="http://schemas.openxmlformats.org/officeDocument/2006/relationships" xmlns:a="http://schemas.openxmlformats.org/drawingml/2006/main" xmlns:m="http://schemas.openxmlformats.org/officeDocument/2006/math" xmlns:a14="http://schemas.microsoft.com/office/drawing/2010/main" xmlns:xdr="http://schemas.openxmlformats.org/drawingml/2006/spreadsheetDrawing">
  <xdr:twoCellAnchor>
    <xdr:from>
      <xdr:col>3</xdr:col>
      <xdr:colOff>0</xdr:colOff>
      <xdr:row>8</xdr:row>
      <xdr:rowOff>0</xdr:rowOff>
    </xdr:from>
    <xdr:to>
      <xdr:col>3</xdr:col>
      <xdr:colOff>2857500</xdr:colOff>
      <xdr:row>8</xdr:row>
      <xdr:rowOff>3810000</xdr:rowOff>
    </xdr:to>
    <xdr:pic>
      <xdr:nvPicPr>
        <xdr:cNvPr id="5" name="Picture 1" descr="Picture 1"/>
        <xdr:cNvPicPr>
          <a:picLocks noChangeAspect="1"/>
        </xdr:cNvPicPr>
      </xdr:nvPicPr>
      <xdr:blipFill>
        <a:blip r:embed="rId1">
          <a:extLst/>
        </a:blip>
        <a:stretch>
          <a:fillRect/>
        </a:stretch>
      </xdr:blipFill>
      <xdr:spPr>
        <a:xfrm>
          <a:off x="3987800" y="2531745"/>
          <a:ext cx="2857500" cy="3810001"/>
        </a:xfrm>
        <a:prstGeom prst="rect">
          <a:avLst/>
        </a:prstGeom>
        <a:ln w="12700" cap="flat">
          <a:noFill/>
          <a:miter lim="400000"/>
        </a:ln>
        <a:effectLst/>
      </xdr:spPr>
    </xdr:pic>
    <xdr:clientData/>
  </xdr:twoCellAnchor>
  <xdr:twoCellAnchor>
    <xdr:from>
      <xdr:col>3</xdr:col>
      <xdr:colOff>0</xdr:colOff>
      <xdr:row>9</xdr:row>
      <xdr:rowOff>419099</xdr:rowOff>
    </xdr:from>
    <xdr:to>
      <xdr:col>3</xdr:col>
      <xdr:colOff>2857500</xdr:colOff>
      <xdr:row>10</xdr:row>
      <xdr:rowOff>3809999</xdr:rowOff>
    </xdr:to>
    <xdr:pic>
      <xdr:nvPicPr>
        <xdr:cNvPr id="6" name="Picture 2" descr="Picture 2"/>
        <xdr:cNvPicPr>
          <a:picLocks noChangeAspect="1"/>
        </xdr:cNvPicPr>
      </xdr:nvPicPr>
      <xdr:blipFill>
        <a:blip r:embed="rId2">
          <a:extLst/>
        </a:blip>
        <a:stretch>
          <a:fillRect/>
        </a:stretch>
      </xdr:blipFill>
      <xdr:spPr>
        <a:xfrm>
          <a:off x="3987800" y="6808469"/>
          <a:ext cx="2857500" cy="3810001"/>
        </a:xfrm>
        <a:prstGeom prst="rect">
          <a:avLst/>
        </a:prstGeom>
        <a:ln w="12700" cap="flat">
          <a:noFill/>
          <a:miter lim="400000"/>
        </a:ln>
        <a:effectLst/>
      </xdr:spPr>
    </xdr:pic>
    <xdr:clientData/>
  </xdr:twoCellAnchor>
</xdr:wsDr>
</file>

<file path=xl/drawings/drawing3.xml><?xml version="1.0" encoding="utf-8"?>
<xdr:wsDr xmlns:r="http://schemas.openxmlformats.org/officeDocument/2006/relationships" xmlns:a="http://schemas.openxmlformats.org/drawingml/2006/main" xmlns:m="http://schemas.openxmlformats.org/officeDocument/2006/math" xmlns:a14="http://schemas.microsoft.com/office/drawing/2010/main" xmlns:xdr="http://schemas.openxmlformats.org/drawingml/2006/spreadsheetDrawing">
  <xdr:twoCellAnchor>
    <xdr:from>
      <xdr:col>0</xdr:col>
      <xdr:colOff>968533</xdr:colOff>
      <xdr:row>33</xdr:row>
      <xdr:rowOff>59084</xdr:rowOff>
    </xdr:from>
    <xdr:to>
      <xdr:col>4</xdr:col>
      <xdr:colOff>861218</xdr:colOff>
      <xdr:row>48</xdr:row>
      <xdr:rowOff>247379</xdr:rowOff>
    </xdr:to>
    <xdr:graphicFrame>
      <xdr:nvGraphicFramePr>
        <xdr:cNvPr id="8" name="Chart 1"/>
        <xdr:cNvGraphicFramePr/>
      </xdr:nvGraphicFramePr>
      <xdr:xfrm>
        <a:off x="968533" y="10221624"/>
        <a:ext cx="12579986" cy="4699971"/>
      </xdr:xfrm>
      <a:graphic xmlns:a="http://schemas.openxmlformats.org/drawingml/2006/main">
        <a:graphicData uri="http://schemas.openxmlformats.org/drawingml/2006/chart">
          <c:chart xmlns:c="http://schemas.openxmlformats.org/drawingml/2006/chart" r:id="rId1"/>
        </a:graphicData>
      </a:graphic>
    </xdr:graphicFrame>
    <xdr:clientData/>
  </xdr:twoCellAnchor>
</xdr:wsDr>
</file>

<file path=xl/theme/theme1.xml><?xml version="1.0" encoding="utf-8"?>
<a:theme xmlns:a="http://schemas.openxmlformats.org/drawingml/2006/main" xmlns:r="http://schemas.openxmlformats.org/officeDocument/2006/relationships" name="Office 2013 - 2022 Theme">
  <a:themeElements>
    <a:clrScheme name="Office 2013 - 2022 Theme">
      <a:dk1>
        <a:srgbClr val="000000"/>
      </a:dk1>
      <a:lt1>
        <a:srgbClr val="FFFFFF"/>
      </a:lt1>
      <a:dk2>
        <a:srgbClr val="A7A7A7"/>
      </a:dk2>
      <a:lt2>
        <a:srgbClr val="535353"/>
      </a:lt2>
      <a:accent1>
        <a:srgbClr val="4472C4"/>
      </a:accent1>
      <a:accent2>
        <a:srgbClr val="ED7D31"/>
      </a:accent2>
      <a:accent3>
        <a:srgbClr val="A5A5A5"/>
      </a:accent3>
      <a:accent4>
        <a:srgbClr val="FFC000"/>
      </a:accent4>
      <a:accent5>
        <a:srgbClr val="5B9BD5"/>
      </a:accent5>
      <a:accent6>
        <a:srgbClr val="70AD47"/>
      </a:accent6>
      <a:hlink>
        <a:srgbClr val="0000FF"/>
      </a:hlink>
      <a:folHlink>
        <a:srgbClr val="FF00FF"/>
      </a:folHlink>
    </a:clrScheme>
    <a:fontScheme name="Office 2013 - 2022 Theme">
      <a:majorFont>
        <a:latin typeface="Helvetica Neue"/>
        <a:ea typeface="Helvetica Neue"/>
        <a:cs typeface="Helvetica Neue"/>
      </a:majorFont>
      <a:minorFont>
        <a:latin typeface="Helvetica Neue"/>
        <a:ea typeface="Helvetica Neue"/>
        <a:cs typeface="Helvetica Neue"/>
      </a:minorFont>
    </a:fontScheme>
    <a:fmtScheme name="Office 2013 - 2022 Them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12700" cap="flat">
          <a:solidFill>
            <a:schemeClr val="accent1"/>
          </a:solidFill>
          <a:prstDash val="solid"/>
          <a:miter lim="800000"/>
        </a:ln>
        <a:effectLst/>
        <a:sp3d/>
      </a:spPr>
      <a:bodyPr rot="0" spcFirstLastPara="1" vertOverflow="overflow" horzOverflow="overflow" vert="horz" wrap="square" lIns="45719" tIns="45719" rIns="45719" bIns="45719" numCol="1" spcCol="38100" rtlCol="0" anchor="ctr" upright="0">
        <a:spAutoFit/>
      </a:bodyPr>
      <a:lstStyle>
        <a:defPPr marL="0" marR="0" indent="0" algn="l" defTabSz="914400" rtl="0" fontAlgn="auto" latinLnBrk="0" hangingPunct="0">
          <a:lnSpc>
            <a:spcPct val="100000"/>
          </a:lnSpc>
          <a:spcBef>
            <a:spcPts val="0"/>
          </a:spcBef>
          <a:spcAft>
            <a:spcPts val="0"/>
          </a:spcAft>
          <a:buClrTx/>
          <a:buSzTx/>
          <a:buFontTx/>
          <a:buNone/>
          <a:defRPr b="0" baseline="0" cap="none" i="0" spc="0" strike="noStrike" sz="1100" u="none" kumimoji="0" normalizeH="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9pPr>
      </a:lstStyle>
      <a:style>
        <a:lnRef idx="0"/>
        <a:fillRef idx="0"/>
        <a:effectRef idx="0"/>
        <a:fontRef idx="none"/>
      </a:style>
    </a:spDef>
    <a:lnDef>
      <a:spPr>
        <a:noFill/>
        <a:ln w="12700" cap="flat">
          <a:solidFill>
            <a:schemeClr val="accent1"/>
          </a:solidFill>
          <a:prstDash val="solid"/>
          <a:miter lim="800000"/>
        </a:ln>
        <a:effectLst/>
        <a:sp3d/>
      </a:spPr>
      <a:bodyPr rot="0" spcFirstLastPara="1" vertOverflow="overflow" horzOverflow="overflow" vert="horz" wrap="square" lIns="91439" tIns="45719" rIns="91439" bIns="45719" numCol="1" spcCol="38100" rtlCol="0" anchor="t" upright="0">
        <a:noAutofit/>
      </a:bodyPr>
      <a:lstStyle>
        <a:def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9pPr>
      </a:lstStyle>
      <a:style>
        <a:lnRef idx="0"/>
        <a:fillRef idx="0"/>
        <a:effectRef idx="0"/>
        <a:fontRef idx="none"/>
      </a:style>
    </a:lnDef>
    <a:txDef>
      <a:spPr>
        <a:noFill/>
        <a:ln w="12700" cap="flat">
          <a:noFill/>
          <a:miter lim="400000"/>
        </a:ln>
        <a:effectLst/>
        <a:sp3d/>
      </a:spPr>
      <a:bodyPr rot="0" spcFirstLastPara="1" vertOverflow="overflow" horzOverflow="overflow" vert="horz" wrap="square" lIns="45719" tIns="45719" rIns="45719" bIns="45719" numCol="1" spcCol="38100" rtlCol="0" anchor="t" upright="0">
        <a:spAutoFit/>
      </a:bodyPr>
      <a:lstStyle>
        <a:defPPr marL="0" marR="0" indent="0" algn="l" defTabSz="914400" rtl="0" fontAlgn="auto" latinLnBrk="0" hangingPunct="0">
          <a:lnSpc>
            <a:spcPct val="100000"/>
          </a:lnSpc>
          <a:spcBef>
            <a:spcPts val="0"/>
          </a:spcBef>
          <a:spcAft>
            <a:spcPts val="0"/>
          </a:spcAft>
          <a:buClrTx/>
          <a:buSzTx/>
          <a:buFontTx/>
          <a:buNone/>
          <a:defRPr b="0" baseline="0" cap="none" i="0" spc="0" strike="noStrike" sz="1100" u="none" kumimoji="0" normalizeH="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9pPr>
      </a:lstStyle>
      <a:style>
        <a:lnRef idx="0"/>
        <a:fillRef idx="0"/>
        <a:effectRef idx="0"/>
        <a:fontRef idx="none"/>
      </a:style>
    </a:txDef>
  </a:objectDefaults>
</a:theme>
</file>

<file path=xl/worksheets/_rels/sheet2.xml.rels><?xml version="1.0" encoding="UTF-8"?>
<Relationships xmlns="http://schemas.openxmlformats.org/package/2006/relationships"><Relationship Id="rId1" Type="http://schemas.openxmlformats.org/officeDocument/2006/relationships/drawing" Target="../drawings/drawing1.xml"/></Relationships>

</file>

<file path=xl/worksheets/_rels/sheet5.xml.rels><?xml version="1.0" encoding="UTF-8"?>
<Relationships xmlns="http://schemas.openxmlformats.org/package/2006/relationships"><Relationship Id="rId1" Type="http://schemas.openxmlformats.org/officeDocument/2006/relationships/drawing" Target="../drawings/drawing2.xml"/></Relationships>

</file>

<file path=xl/worksheets/_rels/sheet9.xml.rels><?xml version="1.0" encoding="UTF-8"?>
<Relationships xmlns="http://schemas.openxmlformats.org/package/2006/relationships"><Relationship Id="rId1" Type="http://schemas.openxmlformats.org/officeDocument/2006/relationships/drawing" Target="../drawings/drawing3.xml"/></Relationships>

</file>

<file path=xl/worksheets/sheet1.xml><?xml version="1.0" encoding="utf-8"?>
<worksheet xmlns:r="http://schemas.openxmlformats.org/officeDocument/2006/relationships" xmlns="http://schemas.openxmlformats.org/spreadsheetml/2006/main">
  <sheetViews>
    <sheetView workbookViewId="0" showGridLines="0" defaultGridColor="1"/>
  </sheetViews>
  <sheetFormatPr defaultColWidth="10" defaultRowHeight="13" customHeight="1" outlineLevelRow="0" outlineLevelCol="0"/>
  <cols>
    <col min="1" max="1" width="2" customWidth="1"/>
    <col min="2" max="4" width="30.5547" customWidth="1"/>
  </cols>
  <sheetData>
    <row r="3" ht="0.05" customHeight="1">
      <c r="B3" t="s" s="1">
        <v>0</v>
      </c>
      <c r="C3"/>
      <c r="D3"/>
    </row>
    <row r="7">
      <c r="B7" t="s" s="2">
        <v>1</v>
      </c>
      <c r="C7" t="s" s="2">
        <v>2</v>
      </c>
      <c r="D7" t="s" s="2">
        <v>3</v>
      </c>
    </row>
    <row r="9">
      <c r="B9" t="s" s="3">
        <v>4</v>
      </c>
      <c r="C9" s="3"/>
      <c r="D9" s="3"/>
    </row>
    <row r="10">
      <c r="B10" s="4"/>
      <c r="C10" t="s" s="4">
        <v>5</v>
      </c>
      <c r="D10" t="s" s="5">
        <v>4</v>
      </c>
    </row>
    <row r="11">
      <c r="B11" t="s" s="3">
        <v>22</v>
      </c>
      <c r="C11" s="3"/>
      <c r="D11" s="3"/>
    </row>
    <row r="12">
      <c r="B12" s="4"/>
      <c r="C12" t="s" s="4">
        <v>5</v>
      </c>
      <c r="D12" t="s" s="5">
        <v>22</v>
      </c>
    </row>
    <row r="13">
      <c r="B13" t="s" s="3">
        <v>52</v>
      </c>
      <c r="C13" s="3"/>
      <c r="D13" s="3"/>
    </row>
    <row r="14">
      <c r="B14" s="4"/>
      <c r="C14" t="s" s="4">
        <v>5</v>
      </c>
      <c r="D14" t="s" s="5">
        <v>52</v>
      </c>
    </row>
    <row r="15">
      <c r="B15" t="s" s="3">
        <v>85</v>
      </c>
      <c r="C15" s="3"/>
      <c r="D15" s="3"/>
    </row>
    <row r="16">
      <c r="B16" s="4"/>
      <c r="C16" t="s" s="4">
        <v>5</v>
      </c>
      <c r="D16" t="s" s="5">
        <v>85</v>
      </c>
    </row>
    <row r="17">
      <c r="B17" t="s" s="3">
        <v>97</v>
      </c>
      <c r="C17" s="3"/>
      <c r="D17" s="3"/>
    </row>
    <row r="18">
      <c r="B18" s="4"/>
      <c r="C18" t="s" s="4">
        <v>5</v>
      </c>
      <c r="D18" t="s" s="5">
        <v>97</v>
      </c>
    </row>
    <row r="19">
      <c r="B19" t="s" s="3">
        <v>291</v>
      </c>
      <c r="C19" s="3"/>
      <c r="D19" s="3"/>
    </row>
    <row r="20">
      <c r="B20" s="4"/>
      <c r="C20" t="s" s="4">
        <v>5</v>
      </c>
      <c r="D20" t="s" s="5">
        <v>291</v>
      </c>
    </row>
    <row r="21">
      <c r="B21" t="s" s="3">
        <v>321</v>
      </c>
      <c r="C21" s="3"/>
      <c r="D21" s="3"/>
    </row>
    <row r="22">
      <c r="B22" s="4"/>
      <c r="C22" t="s" s="4">
        <v>5</v>
      </c>
      <c r="D22" t="s" s="5">
        <v>321</v>
      </c>
    </row>
    <row r="23">
      <c r="B23" t="s" s="3">
        <v>339</v>
      </c>
      <c r="C23" s="3"/>
      <c r="D23" s="3"/>
    </row>
    <row r="24">
      <c r="B24" s="4"/>
      <c r="C24" t="s" s="4">
        <v>5</v>
      </c>
      <c r="D24" t="s" s="5">
        <v>339</v>
      </c>
    </row>
    <row r="25">
      <c r="B25" t="s" s="3">
        <v>365</v>
      </c>
      <c r="C25" s="3"/>
      <c r="D25" s="3"/>
    </row>
    <row r="26">
      <c r="B26" s="4"/>
      <c r="C26" t="s" s="4">
        <v>5</v>
      </c>
      <c r="D26" t="s" s="5">
        <v>365</v>
      </c>
    </row>
    <row r="27">
      <c r="B27" t="s" s="3">
        <v>448</v>
      </c>
      <c r="C27" s="3"/>
      <c r="D27" s="3"/>
    </row>
    <row r="28">
      <c r="B28" s="4"/>
      <c r="C28" t="s" s="4">
        <v>5</v>
      </c>
      <c r="D28" t="s" s="5">
        <v>448</v>
      </c>
    </row>
    <row r="29">
      <c r="B29" t="s" s="3">
        <v>500</v>
      </c>
      <c r="C29" s="3"/>
      <c r="D29" s="3"/>
    </row>
    <row r="30">
      <c r="B30" s="4"/>
      <c r="C30" t="s" s="4">
        <v>5</v>
      </c>
      <c r="D30" t="s" s="5">
        <v>500</v>
      </c>
    </row>
    <row r="31">
      <c r="B31" t="s" s="3">
        <v>937</v>
      </c>
      <c r="C31" s="3"/>
      <c r="D31" s="3"/>
    </row>
    <row r="32">
      <c r="B32" s="4"/>
      <c r="C32" t="s" s="4">
        <v>5</v>
      </c>
      <c r="D32" t="s" s="5">
        <v>937</v>
      </c>
    </row>
    <row r="33">
      <c r="B33" t="s" s="3">
        <v>957</v>
      </c>
      <c r="C33" s="3"/>
      <c r="D33" s="3"/>
    </row>
    <row r="34">
      <c r="B34" s="4"/>
      <c r="C34" t="s" s="4">
        <v>5</v>
      </c>
      <c r="D34" t="s" s="5">
        <v>957</v>
      </c>
    </row>
  </sheetData>
  <mergeCells count="1">
    <mergeCell ref="B3:D3"/>
  </mergeCells>
  <hyperlinks>
    <hyperlink ref="D10" location="'1. Introduction'!R1C1" tooltip="" display="1. Introduction"/>
    <hyperlink ref="D12" location="'2. Site Details'!R1C1" tooltip="" display="2. Site Details"/>
    <hyperlink ref="D14" location="'3. Desktop Assessment'!R1C1" tooltip="" display="3. Desktop Assessment"/>
    <hyperlink ref="D16" location="'4. Supporting Information'!R1C1" tooltip="" display="4. Supporting Information"/>
    <hyperlink ref="D18" location="'5. Area Habitats'!R1C1" tooltip="" display="5. Area Habitats"/>
    <hyperlink ref="D20" location="'6. Hedges &amp; Lines of Trees'!R1C1" tooltip="" display="6. Hedges &amp; Lines of Trees"/>
    <hyperlink ref="D22" location="'7. Watercourses'!R1C1" tooltip="" display="7. Watercourses"/>
    <hyperlink ref="D24" location="'8. Headline Results'!R1C1" tooltip="" display="8. Headline Results"/>
    <hyperlink ref="D26" location="'9. All Habitats + Multipliers'!R1C1" tooltip="" display="9. All Habitats + Multipliers"/>
    <hyperlink ref="D28" location="'10. Condition and Temporal'!R1C1" tooltip="" display="10. Condition and Temporal"/>
    <hyperlink ref="D30" location="'11. Lists'!R1C1" tooltip="" display="11. Lists"/>
    <hyperlink ref="D32" location="'12. Version history'!R1C1" tooltip="" display="12. Version history"/>
    <hyperlink ref="D34" location="'13. Habitats Translation'!R1C1" tooltip="" display="13. Habitats Translation"/>
  </hyperlinks>
</worksheet>
</file>

<file path=xl/worksheets/sheet10.xml><?xml version="1.0" encoding="utf-8"?>
<worksheet xmlns:r="http://schemas.openxmlformats.org/officeDocument/2006/relationships" xmlns="http://schemas.openxmlformats.org/spreadsheetml/2006/main">
  <sheetPr>
    <pageSetUpPr fitToPage="1"/>
  </sheetPr>
  <dimension ref="A1:Y110"/>
  <sheetViews>
    <sheetView workbookViewId="0" showGridLines="0" defaultGridColor="1"/>
  </sheetViews>
  <sheetFormatPr defaultColWidth="8.83333" defaultRowHeight="15" customHeight="1" outlineLevelRow="0" outlineLevelCol="0"/>
  <cols>
    <col min="1" max="2" width="8.85156" style="935" customWidth="1"/>
    <col min="3" max="3" width="78.5" style="935" customWidth="1"/>
    <col min="4" max="4" width="28.5" style="935" customWidth="1"/>
    <col min="5" max="5" width="14.5" style="935" customWidth="1"/>
    <col min="6" max="6" width="18.5" style="935" customWidth="1"/>
    <col min="7" max="7" width="15.8516" style="935" customWidth="1"/>
    <col min="8" max="8" width="34.5" style="935" customWidth="1"/>
    <col min="9" max="9" width="13" style="935" customWidth="1"/>
    <col min="10" max="10" width="12.8516" style="935" customWidth="1"/>
    <col min="11" max="11" hidden="1" width="8.83333" style="935" customWidth="1"/>
    <col min="12" max="25" width="8.85156" style="935" customWidth="1"/>
    <col min="26" max="16384" width="8.85156" style="935" customWidth="1"/>
  </cols>
  <sheetData>
    <row r="1" ht="26.25" customHeight="1">
      <c r="A1" s="936"/>
      <c r="B1" t="s" s="937">
        <v>366</v>
      </c>
      <c r="C1" s="938"/>
      <c r="D1" s="938"/>
      <c r="E1" s="938"/>
      <c r="F1" s="938"/>
      <c r="G1" s="938"/>
      <c r="H1" s="938"/>
      <c r="I1" s="938"/>
      <c r="J1" s="938"/>
      <c r="K1" s="939">
        <v>9</v>
      </c>
      <c r="L1" s="8"/>
      <c r="M1" s="8"/>
      <c r="N1" s="8"/>
      <c r="O1" s="8"/>
      <c r="P1" s="8"/>
      <c r="Q1" s="8"/>
      <c r="R1" s="8"/>
      <c r="S1" s="8"/>
      <c r="T1" s="8"/>
      <c r="U1" s="8"/>
      <c r="V1" s="8"/>
      <c r="W1" s="8"/>
      <c r="X1" s="8"/>
      <c r="Y1" s="75"/>
    </row>
    <row r="2" ht="18.6" customHeight="1">
      <c r="A2" s="940"/>
      <c r="B2" t="s" s="941">
        <v>89</v>
      </c>
      <c r="C2" t="s" s="942">
        <v>333</v>
      </c>
      <c r="D2" s="943"/>
      <c r="E2" s="943"/>
      <c r="F2" s="943"/>
      <c r="G2" t="s" s="944">
        <v>129</v>
      </c>
      <c r="H2" s="945"/>
      <c r="I2" t="s" s="946">
        <v>367</v>
      </c>
      <c r="J2" s="947"/>
      <c r="K2" t="s" s="948">
        <v>368</v>
      </c>
      <c r="L2" s="949"/>
      <c r="M2" s="11"/>
      <c r="N2" s="11"/>
      <c r="O2" s="11"/>
      <c r="P2" s="11"/>
      <c r="Q2" s="11"/>
      <c r="R2" s="11"/>
      <c r="S2" s="11"/>
      <c r="T2" s="11"/>
      <c r="U2" s="11"/>
      <c r="V2" s="11"/>
      <c r="W2" s="11"/>
      <c r="X2" s="11"/>
      <c r="Y2" s="80"/>
    </row>
    <row r="3" ht="43.5" customHeight="1">
      <c r="A3" s="940"/>
      <c r="B3" s="950"/>
      <c r="C3" t="s" s="951">
        <v>333</v>
      </c>
      <c r="D3" t="s" s="951">
        <v>369</v>
      </c>
      <c r="E3" t="s" s="951">
        <v>370</v>
      </c>
      <c r="F3" t="s" s="951">
        <v>371</v>
      </c>
      <c r="G3" t="s" s="952">
        <v>372</v>
      </c>
      <c r="H3" t="s" s="952">
        <v>373</v>
      </c>
      <c r="I3" t="s" s="953">
        <v>374</v>
      </c>
      <c r="J3" t="s" s="953">
        <v>375</v>
      </c>
      <c r="K3" t="s" s="954">
        <v>376</v>
      </c>
      <c r="L3" s="949"/>
      <c r="M3" s="11"/>
      <c r="N3" s="11"/>
      <c r="O3" s="11"/>
      <c r="P3" s="11"/>
      <c r="Q3" s="11"/>
      <c r="R3" s="11"/>
      <c r="S3" s="11"/>
      <c r="T3" s="11"/>
      <c r="U3" s="11"/>
      <c r="V3" s="11"/>
      <c r="W3" s="11"/>
      <c r="X3" s="11"/>
      <c r="Y3" s="80"/>
    </row>
    <row r="4" ht="29.1" customHeight="1">
      <c r="A4" s="940"/>
      <c r="B4" s="955">
        <v>1</v>
      </c>
      <c r="C4" t="s" s="956">
        <v>377</v>
      </c>
      <c r="D4" t="s" s="957">
        <v>277</v>
      </c>
      <c r="E4" s="958"/>
      <c r="F4" s="958"/>
      <c r="G4" t="s" s="959">
        <v>151</v>
      </c>
      <c r="H4" t="s" s="959">
        <v>378</v>
      </c>
      <c r="I4" t="s" s="960">
        <v>181</v>
      </c>
      <c r="J4" t="s" s="960">
        <v>181</v>
      </c>
      <c r="K4" t="s" s="956">
        <v>181</v>
      </c>
      <c r="L4" s="949"/>
      <c r="M4" s="11"/>
      <c r="N4" s="11"/>
      <c r="O4" s="11"/>
      <c r="P4" s="11"/>
      <c r="Q4" s="11"/>
      <c r="R4" s="11"/>
      <c r="S4" s="11"/>
      <c r="T4" s="11"/>
      <c r="U4" s="11"/>
      <c r="V4" s="11"/>
      <c r="W4" s="11"/>
      <c r="X4" s="11"/>
      <c r="Y4" s="80"/>
    </row>
    <row r="5" ht="29.1" customHeight="1">
      <c r="A5" s="940"/>
      <c r="B5" s="955">
        <v>2</v>
      </c>
      <c r="C5" t="s" s="956">
        <v>379</v>
      </c>
      <c r="D5" t="s" s="957">
        <v>277</v>
      </c>
      <c r="E5" s="958"/>
      <c r="F5" s="958"/>
      <c r="G5" t="s" s="959">
        <v>151</v>
      </c>
      <c r="H5" t="s" s="959">
        <v>378</v>
      </c>
      <c r="I5" t="s" s="960">
        <v>181</v>
      </c>
      <c r="J5" t="s" s="960">
        <v>181</v>
      </c>
      <c r="K5" t="s" s="956">
        <v>181</v>
      </c>
      <c r="L5" s="949"/>
      <c r="M5" s="11"/>
      <c r="N5" s="11"/>
      <c r="O5" s="11"/>
      <c r="P5" s="11"/>
      <c r="Q5" s="11"/>
      <c r="R5" s="11"/>
      <c r="S5" s="11"/>
      <c r="T5" s="11"/>
      <c r="U5" s="11"/>
      <c r="V5" s="11"/>
      <c r="W5" s="11"/>
      <c r="X5" s="11"/>
      <c r="Y5" s="80"/>
    </row>
    <row r="6" ht="29.1" customHeight="1">
      <c r="A6" s="940"/>
      <c r="B6" s="955">
        <v>3</v>
      </c>
      <c r="C6" t="s" s="956">
        <v>380</v>
      </c>
      <c r="D6" t="s" s="957">
        <v>277</v>
      </c>
      <c r="E6" s="958"/>
      <c r="F6" s="958"/>
      <c r="G6" t="s" s="959">
        <v>151</v>
      </c>
      <c r="H6" t="s" s="959">
        <v>378</v>
      </c>
      <c r="I6" t="s" s="960">
        <v>181</v>
      </c>
      <c r="J6" t="s" s="960">
        <v>181</v>
      </c>
      <c r="K6" t="s" s="956">
        <v>181</v>
      </c>
      <c r="L6" s="949"/>
      <c r="M6" s="11"/>
      <c r="N6" s="11"/>
      <c r="O6" s="11"/>
      <c r="P6" s="11"/>
      <c r="Q6" s="11"/>
      <c r="R6" s="11"/>
      <c r="S6" s="11"/>
      <c r="T6" s="11"/>
      <c r="U6" s="11"/>
      <c r="V6" s="11"/>
      <c r="W6" s="11"/>
      <c r="X6" s="11"/>
      <c r="Y6" s="80"/>
    </row>
    <row r="7" ht="29.1" customHeight="1">
      <c r="A7" s="940"/>
      <c r="B7" s="955">
        <v>4</v>
      </c>
      <c r="C7" t="s" s="956">
        <v>381</v>
      </c>
      <c r="D7" t="s" s="957">
        <v>277</v>
      </c>
      <c r="E7" s="958"/>
      <c r="F7" s="958"/>
      <c r="G7" t="s" s="959">
        <v>151</v>
      </c>
      <c r="H7" t="s" s="959">
        <v>378</v>
      </c>
      <c r="I7" t="s" s="960">
        <v>181</v>
      </c>
      <c r="J7" t="s" s="960">
        <v>181</v>
      </c>
      <c r="K7" t="s" s="956">
        <v>181</v>
      </c>
      <c r="L7" s="949"/>
      <c r="M7" s="11"/>
      <c r="N7" s="11"/>
      <c r="O7" s="11"/>
      <c r="P7" s="11"/>
      <c r="Q7" s="11"/>
      <c r="R7" s="11"/>
      <c r="S7" s="11"/>
      <c r="T7" s="11"/>
      <c r="U7" s="11"/>
      <c r="V7" s="11"/>
      <c r="W7" s="11"/>
      <c r="X7" s="11"/>
      <c r="Y7" s="80"/>
    </row>
    <row r="8" ht="29.1" customHeight="1">
      <c r="A8" s="940"/>
      <c r="B8" s="955">
        <v>5</v>
      </c>
      <c r="C8" t="s" s="956">
        <v>382</v>
      </c>
      <c r="D8" t="s" s="957">
        <v>277</v>
      </c>
      <c r="E8" s="958"/>
      <c r="F8" s="958"/>
      <c r="G8" t="s" s="959">
        <v>181</v>
      </c>
      <c r="H8" t="s" s="959">
        <v>383</v>
      </c>
      <c r="I8" t="s" s="960">
        <v>181</v>
      </c>
      <c r="J8" t="s" s="960">
        <v>181</v>
      </c>
      <c r="K8" t="s" s="956">
        <v>181</v>
      </c>
      <c r="L8" s="949"/>
      <c r="M8" s="11"/>
      <c r="N8" s="11"/>
      <c r="O8" s="11"/>
      <c r="P8" s="11"/>
      <c r="Q8" s="11"/>
      <c r="R8" s="11"/>
      <c r="S8" s="11"/>
      <c r="T8" s="11"/>
      <c r="U8" s="11"/>
      <c r="V8" s="11"/>
      <c r="W8" s="11"/>
      <c r="X8" s="11"/>
      <c r="Y8" s="80"/>
    </row>
    <row r="9" ht="29.1" customHeight="1">
      <c r="A9" s="940"/>
      <c r="B9" s="955">
        <f>B8+1</f>
        <v>6</v>
      </c>
      <c r="C9" t="s" s="956">
        <v>384</v>
      </c>
      <c r="D9" t="s" s="957">
        <v>277</v>
      </c>
      <c r="E9" s="958"/>
      <c r="F9" s="958"/>
      <c r="G9" t="s" s="959">
        <v>181</v>
      </c>
      <c r="H9" t="s" s="959">
        <v>383</v>
      </c>
      <c r="I9" t="s" s="960">
        <v>181</v>
      </c>
      <c r="J9" t="s" s="960">
        <v>181</v>
      </c>
      <c r="K9" t="s" s="956">
        <v>181</v>
      </c>
      <c r="L9" s="949"/>
      <c r="M9" s="11"/>
      <c r="N9" s="11"/>
      <c r="O9" s="11"/>
      <c r="P9" s="11"/>
      <c r="Q9" s="11"/>
      <c r="R9" s="11"/>
      <c r="S9" s="11"/>
      <c r="T9" s="11"/>
      <c r="U9" s="11"/>
      <c r="V9" s="11"/>
      <c r="W9" s="11"/>
      <c r="X9" s="11"/>
      <c r="Y9" s="80"/>
    </row>
    <row r="10" ht="29.1" customHeight="1">
      <c r="A10" s="940"/>
      <c r="B10" s="955">
        <f>B9+1</f>
        <v>7</v>
      </c>
      <c r="C10" t="s" s="956">
        <v>385</v>
      </c>
      <c r="D10" t="s" s="957">
        <v>277</v>
      </c>
      <c r="E10" s="958"/>
      <c r="F10" s="958"/>
      <c r="G10" t="s" s="959">
        <v>181</v>
      </c>
      <c r="H10" t="s" s="959">
        <v>383</v>
      </c>
      <c r="I10" t="s" s="960">
        <v>181</v>
      </c>
      <c r="J10" t="s" s="960">
        <v>181</v>
      </c>
      <c r="K10" t="s" s="956">
        <v>181</v>
      </c>
      <c r="L10" s="949"/>
      <c r="M10" s="11"/>
      <c r="N10" s="11"/>
      <c r="O10" s="11"/>
      <c r="P10" s="11"/>
      <c r="Q10" s="11"/>
      <c r="R10" s="11"/>
      <c r="S10" s="11"/>
      <c r="T10" s="11"/>
      <c r="U10" s="11"/>
      <c r="V10" s="11"/>
      <c r="W10" s="11"/>
      <c r="X10" s="11"/>
      <c r="Y10" s="80"/>
    </row>
    <row r="11" ht="29.1" customHeight="1">
      <c r="A11" s="940"/>
      <c r="B11" s="955">
        <f>B10+1</f>
        <v>8</v>
      </c>
      <c r="C11" t="s" s="956">
        <v>386</v>
      </c>
      <c r="D11" t="s" s="957">
        <v>277</v>
      </c>
      <c r="E11" s="958"/>
      <c r="F11" s="958"/>
      <c r="G11" t="s" s="959">
        <v>181</v>
      </c>
      <c r="H11" t="s" s="959">
        <v>383</v>
      </c>
      <c r="I11" t="s" s="960">
        <v>181</v>
      </c>
      <c r="J11" t="s" s="960">
        <v>181</v>
      </c>
      <c r="K11" t="s" s="956">
        <v>181</v>
      </c>
      <c r="L11" s="949"/>
      <c r="M11" s="11"/>
      <c r="N11" s="11"/>
      <c r="O11" s="11"/>
      <c r="P11" s="11"/>
      <c r="Q11" s="11"/>
      <c r="R11" s="11"/>
      <c r="S11" s="11"/>
      <c r="T11" s="11"/>
      <c r="U11" s="11"/>
      <c r="V11" s="11"/>
      <c r="W11" s="11"/>
      <c r="X11" s="11"/>
      <c r="Y11" s="80"/>
    </row>
    <row r="12" ht="29.1" customHeight="1">
      <c r="A12" s="940"/>
      <c r="B12" s="955">
        <f>B11+1</f>
        <v>9</v>
      </c>
      <c r="C12" t="s" s="956">
        <v>387</v>
      </c>
      <c r="D12" t="s" s="957">
        <v>277</v>
      </c>
      <c r="E12" s="958"/>
      <c r="F12" s="958"/>
      <c r="G12" t="s" s="959">
        <v>181</v>
      </c>
      <c r="H12" t="s" s="959">
        <v>383</v>
      </c>
      <c r="I12" t="s" s="960">
        <v>181</v>
      </c>
      <c r="J12" t="s" s="960">
        <v>181</v>
      </c>
      <c r="K12" t="s" s="956">
        <v>181</v>
      </c>
      <c r="L12" s="949"/>
      <c r="M12" s="11"/>
      <c r="N12" s="11"/>
      <c r="O12" s="11"/>
      <c r="P12" s="11"/>
      <c r="Q12" s="11"/>
      <c r="R12" s="11"/>
      <c r="S12" s="11"/>
      <c r="T12" s="11"/>
      <c r="U12" s="11"/>
      <c r="V12" s="11"/>
      <c r="W12" s="11"/>
      <c r="X12" s="11"/>
      <c r="Y12" s="80"/>
    </row>
    <row r="13" ht="29.1" customHeight="1">
      <c r="A13" s="940"/>
      <c r="B13" s="955">
        <f>B12+1</f>
        <v>10</v>
      </c>
      <c r="C13" t="s" s="956">
        <v>388</v>
      </c>
      <c r="D13" t="s" s="957">
        <v>277</v>
      </c>
      <c r="E13" s="958"/>
      <c r="F13" s="958"/>
      <c r="G13" t="s" s="959">
        <v>181</v>
      </c>
      <c r="H13" t="s" s="959">
        <v>383</v>
      </c>
      <c r="I13" t="s" s="960">
        <v>181</v>
      </c>
      <c r="J13" t="s" s="960">
        <v>181</v>
      </c>
      <c r="K13" t="s" s="956">
        <v>181</v>
      </c>
      <c r="L13" s="949"/>
      <c r="M13" s="11"/>
      <c r="N13" s="11"/>
      <c r="O13" s="11"/>
      <c r="P13" s="11"/>
      <c r="Q13" s="11"/>
      <c r="R13" s="11"/>
      <c r="S13" s="11"/>
      <c r="T13" s="11"/>
      <c r="U13" s="11"/>
      <c r="V13" s="11"/>
      <c r="W13" s="11"/>
      <c r="X13" s="11"/>
      <c r="Y13" s="80"/>
    </row>
    <row r="14" ht="29.1" customHeight="1">
      <c r="A14" s="940"/>
      <c r="B14" s="955">
        <f>B13+1</f>
        <v>11</v>
      </c>
      <c r="C14" t="s" s="956">
        <v>389</v>
      </c>
      <c r="D14" t="s" s="957">
        <v>279</v>
      </c>
      <c r="E14" s="958"/>
      <c r="F14" s="958"/>
      <c r="G14" t="s" s="959">
        <v>181</v>
      </c>
      <c r="H14" t="s" s="959">
        <v>383</v>
      </c>
      <c r="I14" t="s" s="960">
        <v>181</v>
      </c>
      <c r="J14" t="s" s="960">
        <v>181</v>
      </c>
      <c r="K14" t="s" s="956">
        <v>181</v>
      </c>
      <c r="L14" s="949"/>
      <c r="M14" s="11"/>
      <c r="N14" s="11"/>
      <c r="O14" s="11"/>
      <c r="P14" s="11"/>
      <c r="Q14" s="11"/>
      <c r="R14" s="11"/>
      <c r="S14" s="11"/>
      <c r="T14" s="11"/>
      <c r="U14" s="11"/>
      <c r="V14" s="11"/>
      <c r="W14" s="11"/>
      <c r="X14" s="11"/>
      <c r="Y14" s="80"/>
    </row>
    <row r="15" ht="29.1" customHeight="1">
      <c r="A15" s="940"/>
      <c r="B15" s="955">
        <f>B14+1</f>
        <v>12</v>
      </c>
      <c r="C15" t="s" s="956">
        <v>390</v>
      </c>
      <c r="D15" t="s" s="957">
        <v>279</v>
      </c>
      <c r="E15" s="958"/>
      <c r="F15" s="958"/>
      <c r="G15" t="s" s="959">
        <v>181</v>
      </c>
      <c r="H15" t="s" s="959">
        <v>383</v>
      </c>
      <c r="I15" t="s" s="960">
        <v>181</v>
      </c>
      <c r="J15" t="s" s="960">
        <v>181</v>
      </c>
      <c r="K15" t="s" s="956">
        <v>181</v>
      </c>
      <c r="L15" s="949"/>
      <c r="M15" s="11"/>
      <c r="N15" s="11"/>
      <c r="O15" s="11"/>
      <c r="P15" s="11"/>
      <c r="Q15" s="11"/>
      <c r="R15" s="11"/>
      <c r="S15" s="11"/>
      <c r="T15" s="11"/>
      <c r="U15" s="11"/>
      <c r="V15" s="11"/>
      <c r="W15" s="11"/>
      <c r="X15" s="11"/>
      <c r="Y15" s="80"/>
    </row>
    <row r="16" ht="29.1" customHeight="1">
      <c r="A16" s="940"/>
      <c r="B16" s="955">
        <f>B15+1</f>
        <v>13</v>
      </c>
      <c r="C16" t="s" s="956">
        <v>391</v>
      </c>
      <c r="D16" t="s" s="957">
        <v>279</v>
      </c>
      <c r="E16" s="958"/>
      <c r="F16" s="958"/>
      <c r="G16" t="s" s="959">
        <v>151</v>
      </c>
      <c r="H16" t="s" s="959">
        <v>378</v>
      </c>
      <c r="I16" t="s" s="960">
        <v>181</v>
      </c>
      <c r="J16" t="s" s="960">
        <v>181</v>
      </c>
      <c r="K16" t="s" s="956">
        <v>181</v>
      </c>
      <c r="L16" s="949"/>
      <c r="M16" s="11"/>
      <c r="N16" s="11"/>
      <c r="O16" s="11"/>
      <c r="P16" s="11"/>
      <c r="Q16" s="11"/>
      <c r="R16" s="11"/>
      <c r="S16" s="11"/>
      <c r="T16" s="11"/>
      <c r="U16" s="11"/>
      <c r="V16" s="11"/>
      <c r="W16" s="11"/>
      <c r="X16" s="11"/>
      <c r="Y16" s="80"/>
    </row>
    <row r="17" ht="29.1" customHeight="1">
      <c r="A17" s="940"/>
      <c r="B17" s="955">
        <f>B16+1</f>
        <v>14</v>
      </c>
      <c r="C17" t="s" s="956">
        <v>392</v>
      </c>
      <c r="D17" t="s" s="957">
        <v>279</v>
      </c>
      <c r="E17" s="958"/>
      <c r="F17" s="958"/>
      <c r="G17" t="s" s="959">
        <v>151</v>
      </c>
      <c r="H17" t="s" s="959">
        <v>378</v>
      </c>
      <c r="I17" t="s" s="960">
        <v>181</v>
      </c>
      <c r="J17" t="s" s="960">
        <v>181</v>
      </c>
      <c r="K17" t="s" s="956">
        <v>181</v>
      </c>
      <c r="L17" s="949"/>
      <c r="M17" s="11"/>
      <c r="N17" s="11"/>
      <c r="O17" s="11"/>
      <c r="P17" s="11"/>
      <c r="Q17" s="11"/>
      <c r="R17" s="11"/>
      <c r="S17" s="11"/>
      <c r="T17" s="11"/>
      <c r="U17" s="11"/>
      <c r="V17" s="11"/>
      <c r="W17" s="11"/>
      <c r="X17" s="11"/>
      <c r="Y17" s="80"/>
    </row>
    <row r="18" ht="29.1" customHeight="1">
      <c r="A18" s="940"/>
      <c r="B18" s="955">
        <f>B17+1</f>
        <v>15</v>
      </c>
      <c r="C18" t="s" s="956">
        <v>393</v>
      </c>
      <c r="D18" t="s" s="957">
        <v>279</v>
      </c>
      <c r="E18" s="958"/>
      <c r="F18" s="958"/>
      <c r="G18" t="s" s="959">
        <v>151</v>
      </c>
      <c r="H18" t="s" s="959">
        <v>378</v>
      </c>
      <c r="I18" t="s" s="960">
        <v>181</v>
      </c>
      <c r="J18" t="s" s="960">
        <v>181</v>
      </c>
      <c r="K18" t="s" s="956">
        <v>181</v>
      </c>
      <c r="L18" s="949"/>
      <c r="M18" s="11"/>
      <c r="N18" s="11"/>
      <c r="O18" s="11"/>
      <c r="P18" s="11"/>
      <c r="Q18" s="11"/>
      <c r="R18" s="11"/>
      <c r="S18" s="11"/>
      <c r="T18" s="11"/>
      <c r="U18" s="11"/>
      <c r="V18" s="11"/>
      <c r="W18" s="11"/>
      <c r="X18" s="11"/>
      <c r="Y18" s="80"/>
    </row>
    <row r="19" ht="29.1" customHeight="1">
      <c r="A19" s="940"/>
      <c r="B19" s="955">
        <f>B18+1</f>
        <v>16</v>
      </c>
      <c r="C19" t="s" s="956">
        <v>394</v>
      </c>
      <c r="D19" t="s" s="957">
        <v>280</v>
      </c>
      <c r="E19" s="958"/>
      <c r="F19" s="958"/>
      <c r="G19" t="s" s="959">
        <v>151</v>
      </c>
      <c r="H19" t="s" s="959">
        <v>378</v>
      </c>
      <c r="I19" t="s" s="960">
        <v>181</v>
      </c>
      <c r="J19" t="s" s="960">
        <v>181</v>
      </c>
      <c r="K19" t="s" s="956">
        <v>181</v>
      </c>
      <c r="L19" s="949"/>
      <c r="M19" s="11"/>
      <c r="N19" s="11"/>
      <c r="O19" s="11"/>
      <c r="P19" s="11"/>
      <c r="Q19" s="11"/>
      <c r="R19" s="11"/>
      <c r="S19" s="11"/>
      <c r="T19" s="11"/>
      <c r="U19" s="11"/>
      <c r="V19" s="11"/>
      <c r="W19" s="11"/>
      <c r="X19" s="11"/>
      <c r="Y19" s="80"/>
    </row>
    <row r="20" ht="29.1" customHeight="1">
      <c r="A20" s="940"/>
      <c r="B20" s="955">
        <f>B19+1</f>
        <v>17</v>
      </c>
      <c r="C20" t="s" s="956">
        <v>395</v>
      </c>
      <c r="D20" t="s" s="957">
        <v>280</v>
      </c>
      <c r="E20" s="958"/>
      <c r="F20" s="958"/>
      <c r="G20" t="s" s="959">
        <v>151</v>
      </c>
      <c r="H20" t="s" s="959">
        <v>378</v>
      </c>
      <c r="I20" t="s" s="960">
        <v>181</v>
      </c>
      <c r="J20" t="s" s="960">
        <v>181</v>
      </c>
      <c r="K20" t="s" s="956">
        <v>181</v>
      </c>
      <c r="L20" s="949"/>
      <c r="M20" s="11"/>
      <c r="N20" s="11"/>
      <c r="O20" s="11"/>
      <c r="P20" s="11"/>
      <c r="Q20" s="11"/>
      <c r="R20" s="11"/>
      <c r="S20" s="11"/>
      <c r="T20" s="11"/>
      <c r="U20" s="11"/>
      <c r="V20" s="11"/>
      <c r="W20" s="11"/>
      <c r="X20" s="11"/>
      <c r="Y20" s="80"/>
    </row>
    <row r="21" ht="29.1" customHeight="1">
      <c r="A21" s="940"/>
      <c r="B21" s="955">
        <f>B20+1</f>
        <v>18</v>
      </c>
      <c r="C21" t="s" s="956">
        <v>396</v>
      </c>
      <c r="D21" t="s" s="957">
        <v>280</v>
      </c>
      <c r="E21" s="958"/>
      <c r="F21" s="958"/>
      <c r="G21" t="s" s="959">
        <v>151</v>
      </c>
      <c r="H21" t="s" s="959">
        <v>378</v>
      </c>
      <c r="I21" t="s" s="960">
        <v>181</v>
      </c>
      <c r="J21" t="s" s="960">
        <v>181</v>
      </c>
      <c r="K21" t="s" s="956">
        <v>181</v>
      </c>
      <c r="L21" s="949"/>
      <c r="M21" s="11"/>
      <c r="N21" s="11"/>
      <c r="O21" s="11"/>
      <c r="P21" s="11"/>
      <c r="Q21" s="11"/>
      <c r="R21" s="11"/>
      <c r="S21" s="11"/>
      <c r="T21" s="11"/>
      <c r="U21" s="11"/>
      <c r="V21" s="11"/>
      <c r="W21" s="11"/>
      <c r="X21" s="11"/>
      <c r="Y21" s="80"/>
    </row>
    <row r="22" ht="29.1" customHeight="1">
      <c r="A22" s="940"/>
      <c r="B22" s="955">
        <f>B21+1</f>
        <v>19</v>
      </c>
      <c r="C22" t="s" s="956">
        <v>397</v>
      </c>
      <c r="D22" t="s" s="957">
        <v>280</v>
      </c>
      <c r="E22" s="958"/>
      <c r="F22" s="958"/>
      <c r="G22" t="s" s="959">
        <v>151</v>
      </c>
      <c r="H22" t="s" s="959">
        <v>378</v>
      </c>
      <c r="I22" t="s" s="960">
        <v>181</v>
      </c>
      <c r="J22" t="s" s="960">
        <v>181</v>
      </c>
      <c r="K22" t="s" s="956">
        <v>181</v>
      </c>
      <c r="L22" s="949"/>
      <c r="M22" s="11"/>
      <c r="N22" s="11"/>
      <c r="O22" s="11"/>
      <c r="P22" s="11"/>
      <c r="Q22" s="11"/>
      <c r="R22" s="11"/>
      <c r="S22" s="11"/>
      <c r="T22" s="11"/>
      <c r="U22" s="11"/>
      <c r="V22" s="11"/>
      <c r="W22" s="11"/>
      <c r="X22" s="11"/>
      <c r="Y22" s="80"/>
    </row>
    <row r="23" ht="29.1" customHeight="1">
      <c r="A23" s="940"/>
      <c r="B23" s="955">
        <f>B22+1</f>
        <v>20</v>
      </c>
      <c r="C23" t="s" s="956">
        <v>398</v>
      </c>
      <c r="D23" t="s" s="957">
        <v>280</v>
      </c>
      <c r="E23" s="958"/>
      <c r="F23" s="958"/>
      <c r="G23" t="s" s="959">
        <v>151</v>
      </c>
      <c r="H23" t="s" s="959">
        <v>378</v>
      </c>
      <c r="I23" t="s" s="960">
        <v>151</v>
      </c>
      <c r="J23" t="s" s="960">
        <v>181</v>
      </c>
      <c r="K23" t="s" s="956">
        <v>181</v>
      </c>
      <c r="L23" s="949"/>
      <c r="M23" s="11"/>
      <c r="N23" s="11"/>
      <c r="O23" s="11"/>
      <c r="P23" s="11"/>
      <c r="Q23" s="11"/>
      <c r="R23" s="11"/>
      <c r="S23" s="11"/>
      <c r="T23" s="11"/>
      <c r="U23" s="11"/>
      <c r="V23" s="11"/>
      <c r="W23" s="11"/>
      <c r="X23" s="11"/>
      <c r="Y23" s="80"/>
    </row>
    <row r="24" ht="29.1" customHeight="1">
      <c r="A24" s="940"/>
      <c r="B24" s="955">
        <f>B23+1</f>
        <v>21</v>
      </c>
      <c r="C24" t="s" s="956">
        <v>399</v>
      </c>
      <c r="D24" t="s" s="957">
        <v>280</v>
      </c>
      <c r="E24" s="958"/>
      <c r="F24" s="958"/>
      <c r="G24" t="s" s="959">
        <v>151</v>
      </c>
      <c r="H24" t="s" s="959">
        <v>378</v>
      </c>
      <c r="I24" t="s" s="960">
        <v>181</v>
      </c>
      <c r="J24" t="s" s="960">
        <v>181</v>
      </c>
      <c r="K24" t="s" s="956">
        <v>181</v>
      </c>
      <c r="L24" s="949"/>
      <c r="M24" s="11"/>
      <c r="N24" s="11"/>
      <c r="O24" s="11"/>
      <c r="P24" s="11"/>
      <c r="Q24" s="11"/>
      <c r="R24" s="11"/>
      <c r="S24" s="11"/>
      <c r="T24" s="11"/>
      <c r="U24" s="11"/>
      <c r="V24" s="11"/>
      <c r="W24" s="11"/>
      <c r="X24" s="11"/>
      <c r="Y24" s="80"/>
    </row>
    <row r="25" ht="29.1" customHeight="1">
      <c r="A25" s="940"/>
      <c r="B25" s="955">
        <f>B24+1</f>
        <v>22</v>
      </c>
      <c r="C25" t="s" s="956">
        <v>400</v>
      </c>
      <c r="D25" t="s" s="957">
        <v>280</v>
      </c>
      <c r="E25" s="958"/>
      <c r="F25" s="958"/>
      <c r="G25" t="s" s="959">
        <v>181</v>
      </c>
      <c r="H25" t="s" s="959">
        <v>383</v>
      </c>
      <c r="I25" t="s" s="960">
        <v>181</v>
      </c>
      <c r="J25" t="s" s="960">
        <v>181</v>
      </c>
      <c r="K25" t="s" s="956">
        <v>181</v>
      </c>
      <c r="L25" s="949"/>
      <c r="M25" s="11"/>
      <c r="N25" s="11"/>
      <c r="O25" s="11"/>
      <c r="P25" s="11"/>
      <c r="Q25" s="11"/>
      <c r="R25" s="11"/>
      <c r="S25" s="11"/>
      <c r="T25" s="11"/>
      <c r="U25" s="11"/>
      <c r="V25" s="11"/>
      <c r="W25" s="11"/>
      <c r="X25" s="11"/>
      <c r="Y25" s="80"/>
    </row>
    <row r="26" ht="29.1" customHeight="1">
      <c r="A26" s="940"/>
      <c r="B26" s="955">
        <f>B25+1</f>
        <v>23</v>
      </c>
      <c r="C26" t="s" s="956">
        <v>401</v>
      </c>
      <c r="D26" t="s" s="957">
        <v>280</v>
      </c>
      <c r="E26" s="958"/>
      <c r="F26" s="958"/>
      <c r="G26" t="s" s="959">
        <v>181</v>
      </c>
      <c r="H26" t="s" s="959">
        <v>383</v>
      </c>
      <c r="I26" t="s" s="960">
        <v>181</v>
      </c>
      <c r="J26" t="s" s="960">
        <v>181</v>
      </c>
      <c r="K26" t="s" s="956">
        <v>181</v>
      </c>
      <c r="L26" s="949"/>
      <c r="M26" s="11"/>
      <c r="N26" s="11"/>
      <c r="O26" s="11"/>
      <c r="P26" s="11"/>
      <c r="Q26" s="11"/>
      <c r="R26" s="11"/>
      <c r="S26" s="11"/>
      <c r="T26" s="11"/>
      <c r="U26" s="11"/>
      <c r="V26" s="11"/>
      <c r="W26" s="11"/>
      <c r="X26" s="11"/>
      <c r="Y26" s="80"/>
    </row>
    <row r="27" ht="29.25" customHeight="1">
      <c r="A27" s="940"/>
      <c r="B27" s="955">
        <f>B26+1</f>
        <v>24</v>
      </c>
      <c r="C27" t="s" s="956">
        <v>402</v>
      </c>
      <c r="D27" t="s" s="957">
        <v>280</v>
      </c>
      <c r="E27" s="958"/>
      <c r="F27" s="958"/>
      <c r="G27" t="s" s="959">
        <v>151</v>
      </c>
      <c r="H27" t="s" s="959">
        <v>378</v>
      </c>
      <c r="I27" t="s" s="960">
        <v>151</v>
      </c>
      <c r="J27" t="s" s="960">
        <v>181</v>
      </c>
      <c r="K27" s="958"/>
      <c r="L27" s="949"/>
      <c r="M27" s="11"/>
      <c r="N27" s="11"/>
      <c r="O27" s="11"/>
      <c r="P27" s="11"/>
      <c r="Q27" s="11"/>
      <c r="R27" s="11"/>
      <c r="S27" s="11"/>
      <c r="T27" s="11"/>
      <c r="U27" s="11"/>
      <c r="V27" s="11"/>
      <c r="W27" s="11"/>
      <c r="X27" s="11"/>
      <c r="Y27" s="80"/>
    </row>
    <row r="28" ht="29.25" customHeight="1">
      <c r="A28" s="940"/>
      <c r="B28" s="955">
        <f>B27+1</f>
        <v>25</v>
      </c>
      <c r="C28" t="s" s="956">
        <v>403</v>
      </c>
      <c r="D28" t="s" s="957">
        <v>283</v>
      </c>
      <c r="E28" s="958"/>
      <c r="F28" s="958"/>
      <c r="G28" t="s" s="959">
        <v>181</v>
      </c>
      <c r="H28" t="s" s="959">
        <v>383</v>
      </c>
      <c r="I28" t="s" s="960">
        <v>181</v>
      </c>
      <c r="J28" t="s" s="960">
        <v>404</v>
      </c>
      <c r="K28" t="s" s="956">
        <v>181</v>
      </c>
      <c r="L28" s="949"/>
      <c r="M28" s="11"/>
      <c r="N28" s="11"/>
      <c r="O28" s="11"/>
      <c r="P28" s="11"/>
      <c r="Q28" s="11"/>
      <c r="R28" s="11"/>
      <c r="S28" s="11"/>
      <c r="T28" s="11"/>
      <c r="U28" s="11"/>
      <c r="V28" s="11"/>
      <c r="W28" s="11"/>
      <c r="X28" s="11"/>
      <c r="Y28" s="80"/>
    </row>
    <row r="29" ht="29.1" customHeight="1">
      <c r="A29" s="940"/>
      <c r="B29" s="955">
        <f>B28+1</f>
        <v>26</v>
      </c>
      <c r="C29" t="s" s="956">
        <v>405</v>
      </c>
      <c r="D29" t="s" s="957">
        <v>283</v>
      </c>
      <c r="E29" s="958"/>
      <c r="F29" s="958"/>
      <c r="G29" t="s" s="959">
        <v>151</v>
      </c>
      <c r="H29" t="s" s="959">
        <v>378</v>
      </c>
      <c r="I29" t="s" s="960">
        <v>181</v>
      </c>
      <c r="J29" t="s" s="960">
        <v>151</v>
      </c>
      <c r="K29" t="s" s="956">
        <v>181</v>
      </c>
      <c r="L29" s="949"/>
      <c r="M29" s="11"/>
      <c r="N29" s="11"/>
      <c r="O29" s="11"/>
      <c r="P29" s="11"/>
      <c r="Q29" s="11"/>
      <c r="R29" s="11"/>
      <c r="S29" s="11"/>
      <c r="T29" s="11"/>
      <c r="U29" s="11"/>
      <c r="V29" s="11"/>
      <c r="W29" s="11"/>
      <c r="X29" s="11"/>
      <c r="Y29" s="80"/>
    </row>
    <row r="30" ht="29.1" customHeight="1">
      <c r="A30" s="940"/>
      <c r="B30" s="955">
        <f>B29+1</f>
        <v>27</v>
      </c>
      <c r="C30" t="s" s="956">
        <v>406</v>
      </c>
      <c r="D30" t="s" s="957">
        <v>283</v>
      </c>
      <c r="E30" s="958"/>
      <c r="F30" s="958"/>
      <c r="G30" t="s" s="959">
        <v>151</v>
      </c>
      <c r="H30" t="s" s="959">
        <v>378</v>
      </c>
      <c r="I30" t="s" s="960">
        <v>151</v>
      </c>
      <c r="J30" t="s" s="960">
        <v>151</v>
      </c>
      <c r="K30" t="s" s="956">
        <v>181</v>
      </c>
      <c r="L30" s="949"/>
      <c r="M30" s="11"/>
      <c r="N30" s="11"/>
      <c r="O30" s="11"/>
      <c r="P30" s="11"/>
      <c r="Q30" s="11"/>
      <c r="R30" s="11"/>
      <c r="S30" s="11"/>
      <c r="T30" s="11"/>
      <c r="U30" s="11"/>
      <c r="V30" s="11"/>
      <c r="W30" s="11"/>
      <c r="X30" s="11"/>
      <c r="Y30" s="80"/>
    </row>
    <row r="31" ht="29.1" customHeight="1">
      <c r="A31" s="940"/>
      <c r="B31" s="955">
        <f>B30+1</f>
        <v>28</v>
      </c>
      <c r="C31" t="s" s="956">
        <v>407</v>
      </c>
      <c r="D31" t="s" s="957">
        <v>284</v>
      </c>
      <c r="E31" s="958"/>
      <c r="F31" s="958"/>
      <c r="G31" t="s" s="959">
        <v>181</v>
      </c>
      <c r="H31" t="s" s="959">
        <v>383</v>
      </c>
      <c r="I31" t="s" s="960">
        <v>181</v>
      </c>
      <c r="J31" t="s" s="960">
        <v>151</v>
      </c>
      <c r="K31" t="s" s="956">
        <v>181</v>
      </c>
      <c r="L31" s="949"/>
      <c r="M31" s="11"/>
      <c r="N31" s="11"/>
      <c r="O31" s="11"/>
      <c r="P31" s="11"/>
      <c r="Q31" s="11"/>
      <c r="R31" s="11"/>
      <c r="S31" s="11"/>
      <c r="T31" s="11"/>
      <c r="U31" s="11"/>
      <c r="V31" s="11"/>
      <c r="W31" s="11"/>
      <c r="X31" s="11"/>
      <c r="Y31" s="80"/>
    </row>
    <row r="32" ht="29.1" customHeight="1">
      <c r="A32" s="940"/>
      <c r="B32" s="955">
        <f>B31+1</f>
        <v>29</v>
      </c>
      <c r="C32" t="s" s="956">
        <v>408</v>
      </c>
      <c r="D32" t="s" s="957">
        <v>284</v>
      </c>
      <c r="E32" s="958"/>
      <c r="F32" s="958"/>
      <c r="G32" t="s" s="959">
        <v>151</v>
      </c>
      <c r="H32" t="s" s="959">
        <v>378</v>
      </c>
      <c r="I32" t="s" s="960">
        <v>151</v>
      </c>
      <c r="J32" t="s" s="960">
        <v>151</v>
      </c>
      <c r="K32" t="s" s="956">
        <v>181</v>
      </c>
      <c r="L32" s="949"/>
      <c r="M32" s="11"/>
      <c r="N32" s="11"/>
      <c r="O32" s="11"/>
      <c r="P32" s="11"/>
      <c r="Q32" s="11"/>
      <c r="R32" s="11"/>
      <c r="S32" s="11"/>
      <c r="T32" s="11"/>
      <c r="U32" s="11"/>
      <c r="V32" s="11"/>
      <c r="W32" s="11"/>
      <c r="X32" s="11"/>
      <c r="Y32" s="80"/>
    </row>
    <row r="33" ht="29.45" customHeight="1">
      <c r="A33" s="940"/>
      <c r="B33" s="955">
        <f>B32+1</f>
        <v>30</v>
      </c>
      <c r="C33" t="s" s="956">
        <v>409</v>
      </c>
      <c r="D33" t="s" s="957">
        <v>284</v>
      </c>
      <c r="E33" s="958"/>
      <c r="F33" s="958"/>
      <c r="G33" t="s" s="959">
        <v>181</v>
      </c>
      <c r="H33" t="s" s="959">
        <v>383</v>
      </c>
      <c r="I33" t="s" s="960">
        <v>181</v>
      </c>
      <c r="J33" t="s" s="960">
        <v>151</v>
      </c>
      <c r="K33" s="958"/>
      <c r="L33" s="949"/>
      <c r="M33" s="11"/>
      <c r="N33" s="11"/>
      <c r="O33" s="11"/>
      <c r="P33" s="11"/>
      <c r="Q33" s="11"/>
      <c r="R33" s="11"/>
      <c r="S33" s="11"/>
      <c r="T33" s="11"/>
      <c r="U33" s="11"/>
      <c r="V33" s="11"/>
      <c r="W33" s="11"/>
      <c r="X33" s="11"/>
      <c r="Y33" s="80"/>
    </row>
    <row r="34" ht="29.1" customHeight="1">
      <c r="A34" s="940"/>
      <c r="B34" s="955">
        <f>B33+1</f>
        <v>31</v>
      </c>
      <c r="C34" t="s" s="956">
        <v>410</v>
      </c>
      <c r="D34" t="s" s="957">
        <v>136</v>
      </c>
      <c r="E34" s="958"/>
      <c r="F34" s="958"/>
      <c r="G34" t="s" s="959">
        <v>181</v>
      </c>
      <c r="H34" t="s" s="959">
        <v>383</v>
      </c>
      <c r="I34" t="s" s="960">
        <v>181</v>
      </c>
      <c r="J34" t="s" s="960">
        <v>181</v>
      </c>
      <c r="K34" t="s" s="956">
        <v>181</v>
      </c>
      <c r="L34" s="949"/>
      <c r="M34" s="11"/>
      <c r="N34" s="11"/>
      <c r="O34" s="11"/>
      <c r="P34" s="11"/>
      <c r="Q34" s="11"/>
      <c r="R34" s="11"/>
      <c r="S34" s="11"/>
      <c r="T34" s="11"/>
      <c r="U34" s="11"/>
      <c r="V34" s="11"/>
      <c r="W34" s="11"/>
      <c r="X34" s="11"/>
      <c r="Y34" s="80"/>
    </row>
    <row r="35" ht="27.95" customHeight="1">
      <c r="A35" s="940"/>
      <c r="B35" s="955">
        <f>B34+1</f>
        <v>32</v>
      </c>
      <c r="C35" t="s" s="956">
        <v>411</v>
      </c>
      <c r="D35" t="s" s="957">
        <v>136</v>
      </c>
      <c r="E35" s="958"/>
      <c r="F35" s="958"/>
      <c r="G35" t="s" s="959">
        <v>139</v>
      </c>
      <c r="H35" t="s" s="959">
        <v>412</v>
      </c>
      <c r="I35" t="s" s="960">
        <v>181</v>
      </c>
      <c r="J35" t="s" s="960">
        <v>181</v>
      </c>
      <c r="K35" t="s" s="956">
        <v>181</v>
      </c>
      <c r="L35" s="949"/>
      <c r="M35" s="11"/>
      <c r="N35" s="11"/>
      <c r="O35" s="11"/>
      <c r="P35" s="11"/>
      <c r="Q35" s="11"/>
      <c r="R35" s="11"/>
      <c r="S35" s="11"/>
      <c r="T35" s="11"/>
      <c r="U35" s="11"/>
      <c r="V35" s="11"/>
      <c r="W35" s="11"/>
      <c r="X35" s="11"/>
      <c r="Y35" s="80"/>
    </row>
    <row r="36" ht="29.1" customHeight="1">
      <c r="A36" s="940"/>
      <c r="B36" s="955">
        <f>B35+1</f>
        <v>33</v>
      </c>
      <c r="C36" t="s" s="956">
        <v>413</v>
      </c>
      <c r="D36" t="s" s="957">
        <v>136</v>
      </c>
      <c r="E36" s="958"/>
      <c r="F36" s="958"/>
      <c r="G36" t="s" s="959">
        <v>181</v>
      </c>
      <c r="H36" t="s" s="959">
        <v>383</v>
      </c>
      <c r="I36" t="s" s="960">
        <v>151</v>
      </c>
      <c r="J36" t="s" s="960">
        <v>181</v>
      </c>
      <c r="K36" t="s" s="956">
        <v>181</v>
      </c>
      <c r="L36" s="949"/>
      <c r="M36" s="11"/>
      <c r="N36" s="11"/>
      <c r="O36" s="11"/>
      <c r="P36" s="11"/>
      <c r="Q36" s="11"/>
      <c r="R36" s="11"/>
      <c r="S36" s="11"/>
      <c r="T36" s="11"/>
      <c r="U36" s="11"/>
      <c r="V36" s="11"/>
      <c r="W36" s="11"/>
      <c r="X36" s="11"/>
      <c r="Y36" s="80"/>
    </row>
    <row r="37" ht="29.1" customHeight="1">
      <c r="A37" s="940"/>
      <c r="B37" s="955">
        <f>B36+1</f>
        <v>34</v>
      </c>
      <c r="C37" t="s" s="956">
        <v>414</v>
      </c>
      <c r="D37" t="s" s="957">
        <v>136</v>
      </c>
      <c r="E37" s="958"/>
      <c r="F37" s="958"/>
      <c r="G37" t="s" s="959">
        <v>151</v>
      </c>
      <c r="H37" t="s" s="959">
        <v>378</v>
      </c>
      <c r="I37" t="s" s="960">
        <v>151</v>
      </c>
      <c r="J37" t="s" s="960">
        <v>151</v>
      </c>
      <c r="K37" t="s" s="956">
        <v>181</v>
      </c>
      <c r="L37" s="949"/>
      <c r="M37" s="11"/>
      <c r="N37" s="11"/>
      <c r="O37" s="11"/>
      <c r="P37" s="11"/>
      <c r="Q37" s="11"/>
      <c r="R37" s="11"/>
      <c r="S37" s="11"/>
      <c r="T37" s="11"/>
      <c r="U37" s="11"/>
      <c r="V37" s="11"/>
      <c r="W37" s="11"/>
      <c r="X37" s="11"/>
      <c r="Y37" s="80"/>
    </row>
    <row r="38" ht="29.25" customHeight="1">
      <c r="A38" s="940"/>
      <c r="B38" s="955">
        <f>B37+1</f>
        <v>35</v>
      </c>
      <c r="C38" t="s" s="956">
        <v>415</v>
      </c>
      <c r="D38" t="s" s="957">
        <v>136</v>
      </c>
      <c r="E38" s="958"/>
      <c r="F38" s="958"/>
      <c r="G38" t="s" s="959">
        <v>139</v>
      </c>
      <c r="H38" t="s" s="959">
        <v>412</v>
      </c>
      <c r="I38" t="s" s="960">
        <v>181</v>
      </c>
      <c r="J38" t="s" s="960">
        <v>181</v>
      </c>
      <c r="K38" t="s" s="956">
        <v>181</v>
      </c>
      <c r="L38" s="949"/>
      <c r="M38" s="11"/>
      <c r="N38" s="11"/>
      <c r="O38" s="11"/>
      <c r="P38" s="11"/>
      <c r="Q38" s="11"/>
      <c r="R38" s="11"/>
      <c r="S38" s="11"/>
      <c r="T38" s="11"/>
      <c r="U38" s="11"/>
      <c r="V38" s="11"/>
      <c r="W38" s="11"/>
      <c r="X38" s="11"/>
      <c r="Y38" s="80"/>
    </row>
    <row r="39" ht="29.1" customHeight="1">
      <c r="A39" s="940"/>
      <c r="B39" s="955">
        <f>B38+1</f>
        <v>36</v>
      </c>
      <c r="C39" t="s" s="956">
        <v>416</v>
      </c>
      <c r="D39" t="s" s="957">
        <v>136</v>
      </c>
      <c r="E39" s="958"/>
      <c r="F39" s="958"/>
      <c r="G39" t="s" s="959">
        <v>151</v>
      </c>
      <c r="H39" t="s" s="959">
        <v>378</v>
      </c>
      <c r="I39" t="s" s="960">
        <v>151</v>
      </c>
      <c r="J39" t="s" s="960">
        <v>181</v>
      </c>
      <c r="K39" t="s" s="956">
        <v>181</v>
      </c>
      <c r="L39" s="949"/>
      <c r="M39" s="11"/>
      <c r="N39" s="11"/>
      <c r="O39" s="11"/>
      <c r="P39" s="11"/>
      <c r="Q39" s="11"/>
      <c r="R39" s="11"/>
      <c r="S39" s="11"/>
      <c r="T39" s="11"/>
      <c r="U39" s="11"/>
      <c r="V39" s="11"/>
      <c r="W39" s="11"/>
      <c r="X39" s="11"/>
      <c r="Y39" s="80"/>
    </row>
    <row r="40" ht="29.45" customHeight="1">
      <c r="A40" s="940"/>
      <c r="B40" s="955">
        <f>B39+1</f>
        <v>37</v>
      </c>
      <c r="C40" t="s" s="956">
        <v>137</v>
      </c>
      <c r="D40" t="s" s="957">
        <v>136</v>
      </c>
      <c r="E40" s="958"/>
      <c r="F40" s="958"/>
      <c r="G40" t="s" s="959">
        <v>139</v>
      </c>
      <c r="H40" t="s" s="959">
        <v>412</v>
      </c>
      <c r="I40" t="s" s="960">
        <v>181</v>
      </c>
      <c r="J40" t="s" s="960">
        <v>181</v>
      </c>
      <c r="K40" t="s" s="956">
        <v>181</v>
      </c>
      <c r="L40" s="949"/>
      <c r="M40" s="11"/>
      <c r="N40" s="11"/>
      <c r="O40" s="11"/>
      <c r="P40" s="11"/>
      <c r="Q40" s="11"/>
      <c r="R40" s="11"/>
      <c r="S40" s="11"/>
      <c r="T40" s="11"/>
      <c r="U40" s="11"/>
      <c r="V40" s="11"/>
      <c r="W40" s="11"/>
      <c r="X40" s="11"/>
      <c r="Y40" s="80"/>
    </row>
    <row r="41" ht="29.1" customHeight="1">
      <c r="A41" s="940"/>
      <c r="B41" s="955">
        <f>B40+1</f>
        <v>38</v>
      </c>
      <c r="C41" t="s" s="956">
        <v>417</v>
      </c>
      <c r="D41" t="s" s="957">
        <v>136</v>
      </c>
      <c r="E41" s="958"/>
      <c r="F41" s="958"/>
      <c r="G41" t="s" s="959">
        <v>181</v>
      </c>
      <c r="H41" t="s" s="959">
        <v>383</v>
      </c>
      <c r="I41" t="s" s="960">
        <v>181</v>
      </c>
      <c r="J41" t="s" s="960">
        <v>181</v>
      </c>
      <c r="K41" t="s" s="956">
        <v>181</v>
      </c>
      <c r="L41" s="949"/>
      <c r="M41" s="11"/>
      <c r="N41" s="11"/>
      <c r="O41" s="11"/>
      <c r="P41" s="11"/>
      <c r="Q41" s="11"/>
      <c r="R41" s="11"/>
      <c r="S41" s="11"/>
      <c r="T41" s="11"/>
      <c r="U41" s="11"/>
      <c r="V41" s="11"/>
      <c r="W41" s="11"/>
      <c r="X41" s="11"/>
      <c r="Y41" s="80"/>
    </row>
    <row r="42" ht="29.1" customHeight="1">
      <c r="A42" s="940"/>
      <c r="B42" s="955">
        <f>B41+1</f>
        <v>39</v>
      </c>
      <c r="C42" t="s" s="956">
        <v>418</v>
      </c>
      <c r="D42" t="s" s="957">
        <v>136</v>
      </c>
      <c r="E42" s="958"/>
      <c r="F42" s="958"/>
      <c r="G42" t="s" s="959">
        <v>181</v>
      </c>
      <c r="H42" t="s" s="959">
        <v>383</v>
      </c>
      <c r="I42" t="s" s="960">
        <v>151</v>
      </c>
      <c r="J42" t="s" s="960">
        <v>151</v>
      </c>
      <c r="K42" t="s" s="956">
        <v>181</v>
      </c>
      <c r="L42" s="949"/>
      <c r="M42" s="11"/>
      <c r="N42" s="11"/>
      <c r="O42" s="11"/>
      <c r="P42" s="11"/>
      <c r="Q42" s="11"/>
      <c r="R42" s="11"/>
      <c r="S42" s="11"/>
      <c r="T42" s="11"/>
      <c r="U42" s="11"/>
      <c r="V42" s="11"/>
      <c r="W42" s="11"/>
      <c r="X42" s="11"/>
      <c r="Y42" s="80"/>
    </row>
    <row r="43" ht="29.1" customHeight="1">
      <c r="A43" s="940"/>
      <c r="B43" s="955">
        <f>B42+1</f>
        <v>40</v>
      </c>
      <c r="C43" t="s" s="956">
        <v>419</v>
      </c>
      <c r="D43" t="s" s="957">
        <v>136</v>
      </c>
      <c r="E43" s="958"/>
      <c r="F43" s="958"/>
      <c r="G43" t="s" s="959">
        <v>181</v>
      </c>
      <c r="H43" t="s" s="959">
        <v>383</v>
      </c>
      <c r="I43" t="s" s="960">
        <v>151</v>
      </c>
      <c r="J43" t="s" s="960">
        <v>151</v>
      </c>
      <c r="K43" t="s" s="956">
        <v>181</v>
      </c>
      <c r="L43" s="949"/>
      <c r="M43" s="11"/>
      <c r="N43" s="11"/>
      <c r="O43" s="11"/>
      <c r="P43" s="11"/>
      <c r="Q43" s="11"/>
      <c r="R43" s="11"/>
      <c r="S43" s="11"/>
      <c r="T43" s="11"/>
      <c r="U43" s="11"/>
      <c r="V43" s="11"/>
      <c r="W43" s="11"/>
      <c r="X43" s="11"/>
      <c r="Y43" s="80"/>
    </row>
    <row r="44" ht="29.1" customHeight="1">
      <c r="A44" s="940"/>
      <c r="B44" s="955">
        <f>B43+1</f>
        <v>41</v>
      </c>
      <c r="C44" t="s" s="956">
        <v>178</v>
      </c>
      <c r="D44" t="s" s="957">
        <v>136</v>
      </c>
      <c r="E44" s="958"/>
      <c r="F44" s="958"/>
      <c r="G44" t="s" s="959">
        <v>181</v>
      </c>
      <c r="H44" t="s" s="959">
        <v>383</v>
      </c>
      <c r="I44" t="s" s="960">
        <v>181</v>
      </c>
      <c r="J44" t="s" s="960">
        <v>181</v>
      </c>
      <c r="K44" t="s" s="956">
        <v>181</v>
      </c>
      <c r="L44" s="949"/>
      <c r="M44" s="11"/>
      <c r="N44" s="11"/>
      <c r="O44" s="11"/>
      <c r="P44" s="11"/>
      <c r="Q44" s="11"/>
      <c r="R44" s="11"/>
      <c r="S44" s="11"/>
      <c r="T44" s="11"/>
      <c r="U44" s="11"/>
      <c r="V44" s="11"/>
      <c r="W44" s="11"/>
      <c r="X44" s="11"/>
      <c r="Y44" s="80"/>
    </row>
    <row r="45" ht="29.1" customHeight="1">
      <c r="A45" s="940"/>
      <c r="B45" s="955">
        <f>B44+1</f>
        <v>42</v>
      </c>
      <c r="C45" t="s" s="956">
        <v>420</v>
      </c>
      <c r="D45" t="s" s="957">
        <v>136</v>
      </c>
      <c r="E45" s="958"/>
      <c r="F45" s="958"/>
      <c r="G45" t="s" s="959">
        <v>181</v>
      </c>
      <c r="H45" t="s" s="959">
        <v>383</v>
      </c>
      <c r="I45" t="s" s="960">
        <v>181</v>
      </c>
      <c r="J45" t="s" s="960">
        <v>181</v>
      </c>
      <c r="K45" t="s" s="956">
        <v>181</v>
      </c>
      <c r="L45" s="949"/>
      <c r="M45" s="11"/>
      <c r="N45" s="11"/>
      <c r="O45" s="11"/>
      <c r="P45" s="11"/>
      <c r="Q45" s="11"/>
      <c r="R45" s="11"/>
      <c r="S45" s="11"/>
      <c r="T45" s="11"/>
      <c r="U45" s="11"/>
      <c r="V45" s="11"/>
      <c r="W45" s="11"/>
      <c r="X45" s="11"/>
      <c r="Y45" s="80"/>
    </row>
    <row r="46" ht="29.1" customHeight="1">
      <c r="A46" s="940"/>
      <c r="B46" s="955">
        <f>B45+1</f>
        <v>43</v>
      </c>
      <c r="C46" t="s" s="956">
        <v>421</v>
      </c>
      <c r="D46" t="s" s="957">
        <v>136</v>
      </c>
      <c r="E46" s="958"/>
      <c r="F46" s="958"/>
      <c r="G46" t="s" s="959">
        <v>181</v>
      </c>
      <c r="H46" t="s" s="959">
        <v>383</v>
      </c>
      <c r="I46" t="s" s="960">
        <v>181</v>
      </c>
      <c r="J46" t="s" s="960">
        <v>181</v>
      </c>
      <c r="K46" t="s" s="956">
        <v>181</v>
      </c>
      <c r="L46" s="949"/>
      <c r="M46" s="11"/>
      <c r="N46" s="11"/>
      <c r="O46" s="11"/>
      <c r="P46" s="11"/>
      <c r="Q46" s="11"/>
      <c r="R46" s="11"/>
      <c r="S46" s="11"/>
      <c r="T46" s="11"/>
      <c r="U46" s="11"/>
      <c r="V46" s="11"/>
      <c r="W46" s="11"/>
      <c r="X46" s="11"/>
      <c r="Y46" s="80"/>
    </row>
    <row r="47" ht="29.1" customHeight="1">
      <c r="A47" s="940"/>
      <c r="B47" s="955">
        <f>B46+1</f>
        <v>44</v>
      </c>
      <c r="C47" t="s" s="956">
        <v>422</v>
      </c>
      <c r="D47" t="s" s="957">
        <v>136</v>
      </c>
      <c r="E47" s="958"/>
      <c r="F47" s="958"/>
      <c r="G47" t="s" s="959">
        <v>181</v>
      </c>
      <c r="H47" t="s" s="959">
        <v>383</v>
      </c>
      <c r="I47" t="s" s="960">
        <v>181</v>
      </c>
      <c r="J47" t="s" s="960">
        <v>181</v>
      </c>
      <c r="K47" t="s" s="956">
        <v>181</v>
      </c>
      <c r="L47" s="949"/>
      <c r="M47" s="11"/>
      <c r="N47" s="11"/>
      <c r="O47" s="11"/>
      <c r="P47" s="11"/>
      <c r="Q47" s="11"/>
      <c r="R47" s="11"/>
      <c r="S47" s="11"/>
      <c r="T47" s="11"/>
      <c r="U47" s="11"/>
      <c r="V47" s="11"/>
      <c r="W47" s="11"/>
      <c r="X47" s="11"/>
      <c r="Y47" s="80"/>
    </row>
    <row r="48" ht="29.1" customHeight="1">
      <c r="A48" s="940"/>
      <c r="B48" s="955">
        <f>B47+1</f>
        <v>45</v>
      </c>
      <c r="C48" t="s" s="956">
        <v>423</v>
      </c>
      <c r="D48" t="s" s="957">
        <v>136</v>
      </c>
      <c r="E48" s="958"/>
      <c r="F48" s="958"/>
      <c r="G48" t="s" s="959">
        <v>181</v>
      </c>
      <c r="H48" t="s" s="959">
        <v>383</v>
      </c>
      <c r="I48" t="s" s="960">
        <v>181</v>
      </c>
      <c r="J48" t="s" s="960">
        <v>181</v>
      </c>
      <c r="K48" t="s" s="956">
        <v>181</v>
      </c>
      <c r="L48" s="949"/>
      <c r="M48" s="11"/>
      <c r="N48" s="11"/>
      <c r="O48" s="11"/>
      <c r="P48" s="11"/>
      <c r="Q48" s="11"/>
      <c r="R48" s="11"/>
      <c r="S48" s="11"/>
      <c r="T48" s="11"/>
      <c r="U48" s="11"/>
      <c r="V48" s="11"/>
      <c r="W48" s="11"/>
      <c r="X48" s="11"/>
      <c r="Y48" s="80"/>
    </row>
    <row r="49" ht="29.1" customHeight="1">
      <c r="A49" s="940"/>
      <c r="B49" s="955">
        <f>B48+1</f>
        <v>46</v>
      </c>
      <c r="C49" t="s" s="956">
        <v>149</v>
      </c>
      <c r="D49" t="s" s="957">
        <v>148</v>
      </c>
      <c r="E49" s="958"/>
      <c r="F49" s="958"/>
      <c r="G49" t="s" s="959">
        <v>151</v>
      </c>
      <c r="H49" t="s" s="959">
        <v>378</v>
      </c>
      <c r="I49" t="s" s="960">
        <v>181</v>
      </c>
      <c r="J49" t="s" s="960">
        <v>181</v>
      </c>
      <c r="K49" t="s" s="956">
        <v>181</v>
      </c>
      <c r="L49" s="949"/>
      <c r="M49" s="11"/>
      <c r="N49" s="11"/>
      <c r="O49" s="11"/>
      <c r="P49" s="11"/>
      <c r="Q49" s="11"/>
      <c r="R49" s="11"/>
      <c r="S49" s="11"/>
      <c r="T49" s="11"/>
      <c r="U49" s="11"/>
      <c r="V49" s="11"/>
      <c r="W49" s="11"/>
      <c r="X49" s="11"/>
      <c r="Y49" s="80"/>
    </row>
    <row r="50" ht="29.1" customHeight="1">
      <c r="A50" s="940"/>
      <c r="B50" s="955">
        <f>B49+1</f>
        <v>47</v>
      </c>
      <c r="C50" t="s" s="956">
        <v>424</v>
      </c>
      <c r="D50" t="s" s="957">
        <v>136</v>
      </c>
      <c r="E50" s="958"/>
      <c r="F50" s="958"/>
      <c r="G50" t="s" s="959">
        <v>181</v>
      </c>
      <c r="H50" t="s" s="959">
        <v>383</v>
      </c>
      <c r="I50" t="s" s="960">
        <v>151</v>
      </c>
      <c r="J50" t="s" s="960">
        <v>151</v>
      </c>
      <c r="K50" t="s" s="956">
        <v>181</v>
      </c>
      <c r="L50" s="949"/>
      <c r="M50" s="11"/>
      <c r="N50" s="11"/>
      <c r="O50" s="11"/>
      <c r="P50" s="11"/>
      <c r="Q50" s="11"/>
      <c r="R50" s="11"/>
      <c r="S50" s="11"/>
      <c r="T50" s="11"/>
      <c r="U50" s="11"/>
      <c r="V50" s="11"/>
      <c r="W50" s="11"/>
      <c r="X50" s="11"/>
      <c r="Y50" s="80"/>
    </row>
    <row r="51" ht="29.45" customHeight="1">
      <c r="A51" s="940"/>
      <c r="B51" s="955">
        <f>B50+1</f>
        <v>48</v>
      </c>
      <c r="C51" t="s" s="956">
        <v>145</v>
      </c>
      <c r="D51" t="s" s="957">
        <v>136</v>
      </c>
      <c r="E51" s="958"/>
      <c r="F51" s="958"/>
      <c r="G51" t="s" s="959">
        <v>139</v>
      </c>
      <c r="H51" t="s" s="959">
        <v>412</v>
      </c>
      <c r="I51" t="s" s="960">
        <v>181</v>
      </c>
      <c r="J51" t="s" s="960">
        <v>181</v>
      </c>
      <c r="K51" t="s" s="956">
        <v>181</v>
      </c>
      <c r="L51" s="949"/>
      <c r="M51" s="11"/>
      <c r="N51" s="11"/>
      <c r="O51" s="11"/>
      <c r="P51" s="11"/>
      <c r="Q51" s="11"/>
      <c r="R51" s="11"/>
      <c r="S51" s="11"/>
      <c r="T51" s="11"/>
      <c r="U51" s="11"/>
      <c r="V51" s="11"/>
      <c r="W51" s="11"/>
      <c r="X51" s="11"/>
      <c r="Y51" s="80"/>
    </row>
    <row r="52" ht="29.1" customHeight="1">
      <c r="A52" s="940"/>
      <c r="B52" s="955">
        <f>B51+1</f>
        <v>49</v>
      </c>
      <c r="C52" t="s" s="956">
        <v>425</v>
      </c>
      <c r="D52" t="s" s="957">
        <v>136</v>
      </c>
      <c r="E52" s="958"/>
      <c r="F52" s="958"/>
      <c r="G52" t="s" s="959">
        <v>181</v>
      </c>
      <c r="H52" t="s" s="959">
        <v>383</v>
      </c>
      <c r="I52" t="s" s="960">
        <v>181</v>
      </c>
      <c r="J52" t="s" s="960">
        <v>181</v>
      </c>
      <c r="K52" t="s" s="956">
        <v>181</v>
      </c>
      <c r="L52" s="949"/>
      <c r="M52" s="11"/>
      <c r="N52" s="11"/>
      <c r="O52" s="11"/>
      <c r="P52" s="11"/>
      <c r="Q52" s="11"/>
      <c r="R52" s="11"/>
      <c r="S52" s="11"/>
      <c r="T52" s="11"/>
      <c r="U52" s="11"/>
      <c r="V52" s="11"/>
      <c r="W52" s="11"/>
      <c r="X52" s="11"/>
      <c r="Y52" s="80"/>
    </row>
    <row r="53" ht="29.1" customHeight="1">
      <c r="A53" s="940"/>
      <c r="B53" s="955">
        <f>B52+1</f>
        <v>50</v>
      </c>
      <c r="C53" t="s" s="956">
        <v>426</v>
      </c>
      <c r="D53" t="s" s="957">
        <v>136</v>
      </c>
      <c r="E53" s="958"/>
      <c r="F53" s="958"/>
      <c r="G53" t="s" s="959">
        <v>181</v>
      </c>
      <c r="H53" t="s" s="959">
        <v>383</v>
      </c>
      <c r="I53" t="s" s="960">
        <v>181</v>
      </c>
      <c r="J53" t="s" s="960">
        <v>181</v>
      </c>
      <c r="K53" t="s" s="956">
        <v>181</v>
      </c>
      <c r="L53" s="949"/>
      <c r="M53" s="11"/>
      <c r="N53" s="11"/>
      <c r="O53" s="11"/>
      <c r="P53" s="11"/>
      <c r="Q53" s="11"/>
      <c r="R53" s="11"/>
      <c r="S53" s="11"/>
      <c r="T53" s="11"/>
      <c r="U53" s="11"/>
      <c r="V53" s="11"/>
      <c r="W53" s="11"/>
      <c r="X53" s="11"/>
      <c r="Y53" s="80"/>
    </row>
    <row r="54" ht="29.45" customHeight="1">
      <c r="A54" s="940"/>
      <c r="B54" s="955">
        <f>B53+1</f>
        <v>51</v>
      </c>
      <c r="C54" t="s" s="956">
        <v>427</v>
      </c>
      <c r="D54" t="s" s="957">
        <v>136</v>
      </c>
      <c r="E54" s="958"/>
      <c r="F54" s="958"/>
      <c r="G54" t="s" s="959">
        <v>181</v>
      </c>
      <c r="H54" t="s" s="959">
        <v>383</v>
      </c>
      <c r="I54" t="s" s="960">
        <v>181</v>
      </c>
      <c r="J54" t="s" s="960">
        <v>181</v>
      </c>
      <c r="K54" s="958"/>
      <c r="L54" s="949"/>
      <c r="M54" s="11"/>
      <c r="N54" s="11"/>
      <c r="O54" s="11"/>
      <c r="P54" s="11"/>
      <c r="Q54" s="11"/>
      <c r="R54" s="11"/>
      <c r="S54" s="11"/>
      <c r="T54" s="11"/>
      <c r="U54" s="11"/>
      <c r="V54" s="11"/>
      <c r="W54" s="11"/>
      <c r="X54" s="11"/>
      <c r="Y54" s="80"/>
    </row>
    <row r="55" ht="29.1" customHeight="1">
      <c r="A55" s="940"/>
      <c r="B55" s="955">
        <f>B54+1</f>
        <v>52</v>
      </c>
      <c r="C55" t="s" s="956">
        <v>428</v>
      </c>
      <c r="D55" t="s" s="957">
        <v>285</v>
      </c>
      <c r="E55" s="958"/>
      <c r="F55" s="958"/>
      <c r="G55" t="s" s="959">
        <v>181</v>
      </c>
      <c r="H55" t="s" s="959">
        <v>383</v>
      </c>
      <c r="I55" t="s" s="960">
        <v>181</v>
      </c>
      <c r="J55" t="s" s="960">
        <v>181</v>
      </c>
      <c r="K55" t="s" s="956">
        <v>181</v>
      </c>
      <c r="L55" s="949"/>
      <c r="M55" s="11"/>
      <c r="N55" s="11"/>
      <c r="O55" s="11"/>
      <c r="P55" s="11"/>
      <c r="Q55" s="11"/>
      <c r="R55" s="11"/>
      <c r="S55" s="11"/>
      <c r="T55" s="11"/>
      <c r="U55" s="11"/>
      <c r="V55" s="11"/>
      <c r="W55" s="11"/>
      <c r="X55" s="11"/>
      <c r="Y55" s="80"/>
    </row>
    <row r="56" ht="29.1" customHeight="1">
      <c r="A56" s="940"/>
      <c r="B56" s="955">
        <f>B55+1</f>
        <v>53</v>
      </c>
      <c r="C56" t="s" s="956">
        <v>429</v>
      </c>
      <c r="D56" t="s" s="957">
        <v>285</v>
      </c>
      <c r="E56" s="958"/>
      <c r="F56" s="958"/>
      <c r="G56" t="s" s="959">
        <v>151</v>
      </c>
      <c r="H56" t="s" s="959">
        <v>378</v>
      </c>
      <c r="I56" t="s" s="960">
        <v>151</v>
      </c>
      <c r="J56" t="s" s="960">
        <v>151</v>
      </c>
      <c r="K56" t="s" s="956">
        <v>181</v>
      </c>
      <c r="L56" s="949"/>
      <c r="M56" s="11"/>
      <c r="N56" s="11"/>
      <c r="O56" s="11"/>
      <c r="P56" s="11"/>
      <c r="Q56" s="11"/>
      <c r="R56" s="11"/>
      <c r="S56" s="11"/>
      <c r="T56" s="11"/>
      <c r="U56" s="11"/>
      <c r="V56" s="11"/>
      <c r="W56" s="11"/>
      <c r="X56" s="11"/>
      <c r="Y56" s="80"/>
    </row>
    <row r="57" ht="29.1" customHeight="1">
      <c r="A57" s="940"/>
      <c r="B57" s="955">
        <f>B56+1</f>
        <v>54</v>
      </c>
      <c r="C57" t="s" s="956">
        <v>430</v>
      </c>
      <c r="D57" t="s" s="957">
        <v>285</v>
      </c>
      <c r="E57" s="958"/>
      <c r="F57" s="958"/>
      <c r="G57" t="s" s="959">
        <v>151</v>
      </c>
      <c r="H57" t="s" s="959">
        <v>378</v>
      </c>
      <c r="I57" t="s" s="960">
        <v>181</v>
      </c>
      <c r="J57" t="s" s="960">
        <v>181</v>
      </c>
      <c r="K57" t="s" s="956">
        <v>181</v>
      </c>
      <c r="L57" s="949"/>
      <c r="M57" s="11"/>
      <c r="N57" s="11"/>
      <c r="O57" s="11"/>
      <c r="P57" s="11"/>
      <c r="Q57" s="11"/>
      <c r="R57" s="11"/>
      <c r="S57" s="11"/>
      <c r="T57" s="11"/>
      <c r="U57" s="11"/>
      <c r="V57" s="11"/>
      <c r="W57" s="11"/>
      <c r="X57" s="11"/>
      <c r="Y57" s="80"/>
    </row>
    <row r="58" ht="29.1" customHeight="1">
      <c r="A58" s="940"/>
      <c r="B58" s="955">
        <f>B57+1</f>
        <v>55</v>
      </c>
      <c r="C58" t="s" s="956">
        <v>431</v>
      </c>
      <c r="D58" t="s" s="957">
        <v>285</v>
      </c>
      <c r="E58" s="958"/>
      <c r="F58" s="958"/>
      <c r="G58" t="s" s="959">
        <v>151</v>
      </c>
      <c r="H58" t="s" s="959">
        <v>378</v>
      </c>
      <c r="I58" t="s" s="960">
        <v>181</v>
      </c>
      <c r="J58" t="s" s="960">
        <v>181</v>
      </c>
      <c r="K58" t="s" s="956">
        <v>181</v>
      </c>
      <c r="L58" s="949"/>
      <c r="M58" s="11"/>
      <c r="N58" s="11"/>
      <c r="O58" s="11"/>
      <c r="P58" s="11"/>
      <c r="Q58" s="11"/>
      <c r="R58" s="11"/>
      <c r="S58" s="11"/>
      <c r="T58" s="11"/>
      <c r="U58" s="11"/>
      <c r="V58" s="11"/>
      <c r="W58" s="11"/>
      <c r="X58" s="11"/>
      <c r="Y58" s="80"/>
    </row>
    <row r="59" ht="29.1" customHeight="1">
      <c r="A59" s="940"/>
      <c r="B59" s="955">
        <f>B58+1</f>
        <v>56</v>
      </c>
      <c r="C59" t="s" s="956">
        <v>432</v>
      </c>
      <c r="D59" t="s" s="957">
        <v>282</v>
      </c>
      <c r="E59" s="958"/>
      <c r="F59" s="958"/>
      <c r="G59" t="s" s="959">
        <v>151</v>
      </c>
      <c r="H59" t="s" s="959">
        <v>378</v>
      </c>
      <c r="I59" t="s" s="960">
        <v>151</v>
      </c>
      <c r="J59" t="s" s="960">
        <v>151</v>
      </c>
      <c r="K59" t="s" s="956">
        <v>181</v>
      </c>
      <c r="L59" s="949"/>
      <c r="M59" s="11"/>
      <c r="N59" s="11"/>
      <c r="O59" s="11"/>
      <c r="P59" s="11"/>
      <c r="Q59" s="11"/>
      <c r="R59" s="11"/>
      <c r="S59" s="11"/>
      <c r="T59" s="11"/>
      <c r="U59" s="11"/>
      <c r="V59" s="11"/>
      <c r="W59" s="11"/>
      <c r="X59" s="11"/>
      <c r="Y59" s="80"/>
    </row>
    <row r="60" ht="29.1" customHeight="1">
      <c r="A60" s="940"/>
      <c r="B60" s="955">
        <f>B59+1</f>
        <v>57</v>
      </c>
      <c r="C60" t="s" s="956">
        <v>433</v>
      </c>
      <c r="D60" t="s" s="957">
        <v>286</v>
      </c>
      <c r="E60" s="958"/>
      <c r="F60" s="958"/>
      <c r="G60" t="s" s="959">
        <v>181</v>
      </c>
      <c r="H60" t="s" s="959">
        <v>383</v>
      </c>
      <c r="I60" t="s" s="960">
        <v>404</v>
      </c>
      <c r="J60" t="s" s="960">
        <v>151</v>
      </c>
      <c r="K60" t="s" s="956">
        <v>181</v>
      </c>
      <c r="L60" s="949"/>
      <c r="M60" s="11"/>
      <c r="N60" s="11"/>
      <c r="O60" s="11"/>
      <c r="P60" s="11"/>
      <c r="Q60" s="11"/>
      <c r="R60" s="11"/>
      <c r="S60" s="11"/>
      <c r="T60" s="11"/>
      <c r="U60" s="11"/>
      <c r="V60" s="11"/>
      <c r="W60" s="11"/>
      <c r="X60" s="11"/>
      <c r="Y60" s="80"/>
    </row>
    <row r="61" ht="29.1" customHeight="1">
      <c r="A61" s="940"/>
      <c r="B61" s="955">
        <f>B60+1</f>
        <v>58</v>
      </c>
      <c r="C61" t="s" s="956">
        <v>434</v>
      </c>
      <c r="D61" t="s" s="957">
        <v>282</v>
      </c>
      <c r="E61" s="958"/>
      <c r="F61" s="958"/>
      <c r="G61" t="s" s="959">
        <v>181</v>
      </c>
      <c r="H61" t="s" s="959">
        <v>383</v>
      </c>
      <c r="I61" t="s" s="960">
        <v>151</v>
      </c>
      <c r="J61" t="s" s="960">
        <v>151</v>
      </c>
      <c r="K61" t="s" s="956">
        <v>181</v>
      </c>
      <c r="L61" s="949"/>
      <c r="M61" s="11"/>
      <c r="N61" s="11"/>
      <c r="O61" s="11"/>
      <c r="P61" s="11"/>
      <c r="Q61" s="11"/>
      <c r="R61" s="11"/>
      <c r="S61" s="11"/>
      <c r="T61" s="11"/>
      <c r="U61" s="11"/>
      <c r="V61" s="11"/>
      <c r="W61" s="11"/>
      <c r="X61" s="11"/>
      <c r="Y61" s="80"/>
    </row>
    <row r="62" ht="29.1" customHeight="1">
      <c r="A62" s="940"/>
      <c r="B62" s="955">
        <f>B61+1</f>
        <v>59</v>
      </c>
      <c r="C62" t="s" s="956">
        <v>435</v>
      </c>
      <c r="D62" t="s" s="957">
        <v>282</v>
      </c>
      <c r="E62" s="958"/>
      <c r="F62" s="958"/>
      <c r="G62" t="s" s="959">
        <v>181</v>
      </c>
      <c r="H62" t="s" s="959">
        <v>383</v>
      </c>
      <c r="I62" t="s" s="960">
        <v>404</v>
      </c>
      <c r="J62" t="s" s="960">
        <v>151</v>
      </c>
      <c r="K62" t="s" s="956">
        <v>181</v>
      </c>
      <c r="L62" s="949"/>
      <c r="M62" s="11"/>
      <c r="N62" s="11"/>
      <c r="O62" s="11"/>
      <c r="P62" s="11"/>
      <c r="Q62" s="11"/>
      <c r="R62" s="11"/>
      <c r="S62" s="11"/>
      <c r="T62" s="11"/>
      <c r="U62" s="11"/>
      <c r="V62" s="11"/>
      <c r="W62" s="11"/>
      <c r="X62" s="11"/>
      <c r="Y62" s="80"/>
    </row>
    <row r="63" ht="29.1" customHeight="1">
      <c r="A63" s="940"/>
      <c r="B63" s="955">
        <f>B62+1</f>
        <v>60</v>
      </c>
      <c r="C63" t="s" s="956">
        <v>436</v>
      </c>
      <c r="D63" t="s" s="957">
        <v>282</v>
      </c>
      <c r="E63" s="958"/>
      <c r="F63" s="958"/>
      <c r="G63" t="s" s="959">
        <v>181</v>
      </c>
      <c r="H63" t="s" s="959">
        <v>383</v>
      </c>
      <c r="I63" t="s" s="960">
        <v>151</v>
      </c>
      <c r="J63" t="s" s="960">
        <v>151</v>
      </c>
      <c r="K63" t="s" s="956">
        <v>181</v>
      </c>
      <c r="L63" s="949"/>
      <c r="M63" s="11"/>
      <c r="N63" s="11"/>
      <c r="O63" s="11"/>
      <c r="P63" s="11"/>
      <c r="Q63" s="11"/>
      <c r="R63" s="11"/>
      <c r="S63" s="11"/>
      <c r="T63" s="11"/>
      <c r="U63" s="11"/>
      <c r="V63" s="11"/>
      <c r="W63" s="11"/>
      <c r="X63" s="11"/>
      <c r="Y63" s="80"/>
    </row>
    <row r="64" ht="29.1" customHeight="1">
      <c r="A64" s="940"/>
      <c r="B64" s="955">
        <f>B63+1</f>
        <v>61</v>
      </c>
      <c r="C64" t="s" s="956">
        <v>437</v>
      </c>
      <c r="D64" t="s" s="957">
        <v>282</v>
      </c>
      <c r="E64" s="958"/>
      <c r="F64" s="958"/>
      <c r="G64" t="s" s="959">
        <v>181</v>
      </c>
      <c r="H64" t="s" s="959">
        <v>383</v>
      </c>
      <c r="I64" t="s" s="960">
        <v>404</v>
      </c>
      <c r="J64" t="s" s="960">
        <v>151</v>
      </c>
      <c r="K64" t="s" s="956">
        <v>181</v>
      </c>
      <c r="L64" s="949"/>
      <c r="M64" s="11"/>
      <c r="N64" s="11"/>
      <c r="O64" s="11"/>
      <c r="P64" s="11"/>
      <c r="Q64" s="11"/>
      <c r="R64" s="11"/>
      <c r="S64" s="11"/>
      <c r="T64" s="11"/>
      <c r="U64" s="11"/>
      <c r="V64" s="11"/>
      <c r="W64" s="11"/>
      <c r="X64" s="11"/>
      <c r="Y64" s="80"/>
    </row>
    <row r="65" ht="29.1" customHeight="1">
      <c r="A65" s="940"/>
      <c r="B65" s="955">
        <f>B64+1</f>
        <v>62</v>
      </c>
      <c r="C65" t="s" s="956">
        <v>438</v>
      </c>
      <c r="D65" t="s" s="957">
        <v>282</v>
      </c>
      <c r="E65" s="958"/>
      <c r="F65" s="958"/>
      <c r="G65" t="s" s="959">
        <v>181</v>
      </c>
      <c r="H65" t="s" s="959">
        <v>383</v>
      </c>
      <c r="I65" t="s" s="960">
        <v>404</v>
      </c>
      <c r="J65" t="s" s="960">
        <v>151</v>
      </c>
      <c r="K65" t="s" s="956">
        <v>181</v>
      </c>
      <c r="L65" s="949"/>
      <c r="M65" s="11"/>
      <c r="N65" s="11"/>
      <c r="O65" s="11"/>
      <c r="P65" s="11"/>
      <c r="Q65" s="11"/>
      <c r="R65" s="11"/>
      <c r="S65" s="11"/>
      <c r="T65" s="11"/>
      <c r="U65" s="11"/>
      <c r="V65" s="11"/>
      <c r="W65" s="11"/>
      <c r="X65" s="11"/>
      <c r="Y65" s="80"/>
    </row>
    <row r="66" ht="29.1" customHeight="1">
      <c r="A66" s="940"/>
      <c r="B66" s="955">
        <f>B65+1</f>
        <v>63</v>
      </c>
      <c r="C66" t="s" s="956">
        <v>439</v>
      </c>
      <c r="D66" t="s" s="957">
        <v>282</v>
      </c>
      <c r="E66" s="958"/>
      <c r="F66" s="958"/>
      <c r="G66" t="s" s="959">
        <v>181</v>
      </c>
      <c r="H66" t="s" s="959">
        <v>383</v>
      </c>
      <c r="I66" t="s" s="960">
        <v>404</v>
      </c>
      <c r="J66" t="s" s="960">
        <v>404</v>
      </c>
      <c r="K66" t="s" s="956">
        <v>181</v>
      </c>
      <c r="L66" s="949"/>
      <c r="M66" s="11"/>
      <c r="N66" s="11"/>
      <c r="O66" s="11"/>
      <c r="P66" s="11"/>
      <c r="Q66" s="11"/>
      <c r="R66" s="11"/>
      <c r="S66" s="11"/>
      <c r="T66" s="11"/>
      <c r="U66" s="11"/>
      <c r="V66" s="11"/>
      <c r="W66" s="11"/>
      <c r="X66" s="11"/>
      <c r="Y66" s="80"/>
    </row>
    <row r="67" ht="29.1" customHeight="1">
      <c r="A67" s="940"/>
      <c r="B67" s="955">
        <f>B66+1</f>
        <v>64</v>
      </c>
      <c r="C67" t="s" s="956">
        <v>440</v>
      </c>
      <c r="D67" t="s" s="957">
        <v>282</v>
      </c>
      <c r="E67" s="958"/>
      <c r="F67" s="958"/>
      <c r="G67" t="s" s="959">
        <v>181</v>
      </c>
      <c r="H67" t="s" s="959">
        <v>383</v>
      </c>
      <c r="I67" t="s" s="960">
        <v>404</v>
      </c>
      <c r="J67" t="s" s="960">
        <v>151</v>
      </c>
      <c r="K67" t="s" s="956">
        <v>181</v>
      </c>
      <c r="L67" s="949"/>
      <c r="M67" s="11"/>
      <c r="N67" s="11"/>
      <c r="O67" s="11"/>
      <c r="P67" s="11"/>
      <c r="Q67" s="11"/>
      <c r="R67" s="11"/>
      <c r="S67" s="11"/>
      <c r="T67" s="11"/>
      <c r="U67" s="11"/>
      <c r="V67" s="11"/>
      <c r="W67" s="11"/>
      <c r="X67" s="11"/>
      <c r="Y67" s="80"/>
    </row>
    <row r="68" ht="29.1" customHeight="1">
      <c r="A68" s="940"/>
      <c r="B68" s="955">
        <f>B67+1</f>
        <v>65</v>
      </c>
      <c r="C68" t="s" s="956">
        <v>441</v>
      </c>
      <c r="D68" t="s" s="957">
        <v>282</v>
      </c>
      <c r="E68" s="958"/>
      <c r="F68" s="958"/>
      <c r="G68" t="s" s="959">
        <v>151</v>
      </c>
      <c r="H68" t="s" s="959">
        <v>378</v>
      </c>
      <c r="I68" t="s" s="960">
        <v>151</v>
      </c>
      <c r="J68" t="s" s="960">
        <v>151</v>
      </c>
      <c r="K68" t="s" s="956">
        <v>181</v>
      </c>
      <c r="L68" s="949"/>
      <c r="M68" s="11"/>
      <c r="N68" s="11"/>
      <c r="O68" s="11"/>
      <c r="P68" s="11"/>
      <c r="Q68" s="11"/>
      <c r="R68" s="11"/>
      <c r="S68" s="11"/>
      <c r="T68" s="11"/>
      <c r="U68" s="11"/>
      <c r="V68" s="11"/>
      <c r="W68" s="11"/>
      <c r="X68" s="11"/>
      <c r="Y68" s="80"/>
    </row>
    <row r="69" ht="29.1" customHeight="1">
      <c r="A69" s="940"/>
      <c r="B69" s="955">
        <f>B68+1</f>
        <v>66</v>
      </c>
      <c r="C69" t="s" s="956">
        <v>442</v>
      </c>
      <c r="D69" t="s" s="959">
        <v>281</v>
      </c>
      <c r="E69" s="958"/>
      <c r="F69" s="958"/>
      <c r="G69" t="s" s="959">
        <v>181</v>
      </c>
      <c r="H69" t="s" s="959">
        <v>383</v>
      </c>
      <c r="I69" t="s" s="960">
        <v>151</v>
      </c>
      <c r="J69" t="s" s="960">
        <v>151</v>
      </c>
      <c r="K69" t="s" s="956">
        <v>181</v>
      </c>
      <c r="L69" s="949"/>
      <c r="M69" s="11"/>
      <c r="N69" s="11"/>
      <c r="O69" s="11"/>
      <c r="P69" s="11"/>
      <c r="Q69" s="11"/>
      <c r="R69" s="11"/>
      <c r="S69" s="11"/>
      <c r="T69" s="11"/>
      <c r="U69" s="11"/>
      <c r="V69" s="11"/>
      <c r="W69" s="11"/>
      <c r="X69" s="11"/>
      <c r="Y69" s="80"/>
    </row>
    <row r="70" ht="29.1" customHeight="1">
      <c r="A70" s="940"/>
      <c r="B70" s="955">
        <f>B69+1</f>
        <v>67</v>
      </c>
      <c r="C70" t="s" s="956">
        <v>443</v>
      </c>
      <c r="D70" t="s" s="959">
        <v>281</v>
      </c>
      <c r="E70" s="958"/>
      <c r="F70" s="958"/>
      <c r="G70" t="s" s="959">
        <v>181</v>
      </c>
      <c r="H70" t="s" s="959">
        <v>383</v>
      </c>
      <c r="I70" t="s" s="960">
        <v>151</v>
      </c>
      <c r="J70" t="s" s="960">
        <v>151</v>
      </c>
      <c r="K70" t="s" s="956">
        <v>181</v>
      </c>
      <c r="L70" s="949"/>
      <c r="M70" s="11"/>
      <c r="N70" s="11"/>
      <c r="O70" s="11"/>
      <c r="P70" s="11"/>
      <c r="Q70" s="11"/>
      <c r="R70" s="11"/>
      <c r="S70" s="11"/>
      <c r="T70" s="11"/>
      <c r="U70" s="11"/>
      <c r="V70" s="11"/>
      <c r="W70" s="11"/>
      <c r="X70" s="11"/>
      <c r="Y70" s="80"/>
    </row>
    <row r="71" ht="29.45" customHeight="1">
      <c r="A71" s="940"/>
      <c r="B71" s="961">
        <f>B70+1</f>
        <v>68</v>
      </c>
      <c r="C71" t="s" s="962">
        <v>444</v>
      </c>
      <c r="D71" t="s" s="963">
        <v>281</v>
      </c>
      <c r="E71" s="186"/>
      <c r="F71" s="186"/>
      <c r="G71" t="s" s="963">
        <v>151</v>
      </c>
      <c r="H71" t="s" s="963">
        <v>378</v>
      </c>
      <c r="I71" t="s" s="964">
        <v>151</v>
      </c>
      <c r="J71" t="s" s="964">
        <v>151</v>
      </c>
      <c r="K71" t="s" s="956">
        <v>181</v>
      </c>
      <c r="L71" s="949"/>
      <c r="M71" s="11"/>
      <c r="N71" s="11"/>
      <c r="O71" s="11"/>
      <c r="P71" s="11"/>
      <c r="Q71" s="11"/>
      <c r="R71" s="11"/>
      <c r="S71" s="11"/>
      <c r="T71" s="11"/>
      <c r="U71" s="11"/>
      <c r="V71" s="11"/>
      <c r="W71" s="11"/>
      <c r="X71" s="11"/>
      <c r="Y71" s="80"/>
    </row>
    <row r="72" ht="29.1" customHeight="1">
      <c r="A72" s="940"/>
      <c r="B72" s="965">
        <f>B71+1</f>
        <v>69</v>
      </c>
      <c r="C72" t="s" s="966">
        <v>307</v>
      </c>
      <c r="D72" t="s" s="967">
        <v>299</v>
      </c>
      <c r="E72" s="968"/>
      <c r="F72" s="968"/>
      <c r="G72" t="s" s="969">
        <v>151</v>
      </c>
      <c r="H72" t="s" s="969">
        <v>383</v>
      </c>
      <c r="I72" t="s" s="274">
        <v>181</v>
      </c>
      <c r="J72" t="s" s="274">
        <v>181</v>
      </c>
      <c r="K72" t="s" s="956">
        <v>181</v>
      </c>
      <c r="L72" s="949"/>
      <c r="M72" s="11"/>
      <c r="N72" s="11"/>
      <c r="O72" s="11"/>
      <c r="P72" s="11"/>
      <c r="Q72" s="11"/>
      <c r="R72" s="11"/>
      <c r="S72" s="11"/>
      <c r="T72" s="11"/>
      <c r="U72" s="11"/>
      <c r="V72" s="11"/>
      <c r="W72" s="11"/>
      <c r="X72" s="11"/>
      <c r="Y72" s="80"/>
    </row>
    <row r="73" ht="29.1" customHeight="1">
      <c r="A73" s="940"/>
      <c r="B73" s="955">
        <f>B72+1</f>
        <v>70</v>
      </c>
      <c r="C73" t="s" s="956">
        <v>308</v>
      </c>
      <c r="D73" t="s" s="957">
        <v>299</v>
      </c>
      <c r="E73" s="958"/>
      <c r="F73" s="958"/>
      <c r="G73" t="s" s="959">
        <v>151</v>
      </c>
      <c r="H73" t="s" s="959">
        <v>383</v>
      </c>
      <c r="I73" t="s" s="960">
        <v>181</v>
      </c>
      <c r="J73" t="s" s="960">
        <v>181</v>
      </c>
      <c r="K73" t="s" s="956">
        <v>181</v>
      </c>
      <c r="L73" s="949"/>
      <c r="M73" s="11"/>
      <c r="N73" s="11"/>
      <c r="O73" s="11"/>
      <c r="P73" s="11"/>
      <c r="Q73" s="11"/>
      <c r="R73" s="11"/>
      <c r="S73" s="11"/>
      <c r="T73" s="11"/>
      <c r="U73" s="11"/>
      <c r="V73" s="11"/>
      <c r="W73" s="11"/>
      <c r="X73" s="11"/>
      <c r="Y73" s="80"/>
    </row>
    <row r="74" ht="29.1" customHeight="1">
      <c r="A74" s="940"/>
      <c r="B74" s="955">
        <f>B73+1</f>
        <v>71</v>
      </c>
      <c r="C74" t="s" s="956">
        <v>309</v>
      </c>
      <c r="D74" t="s" s="957">
        <v>299</v>
      </c>
      <c r="E74" s="958"/>
      <c r="F74" s="958"/>
      <c r="G74" t="s" s="959">
        <v>151</v>
      </c>
      <c r="H74" t="s" s="959">
        <v>383</v>
      </c>
      <c r="I74" t="s" s="960">
        <v>181</v>
      </c>
      <c r="J74" t="s" s="960">
        <v>181</v>
      </c>
      <c r="K74" t="s" s="956">
        <v>181</v>
      </c>
      <c r="L74" s="949"/>
      <c r="M74" s="11"/>
      <c r="N74" s="11"/>
      <c r="O74" s="11"/>
      <c r="P74" s="11"/>
      <c r="Q74" s="11"/>
      <c r="R74" s="11"/>
      <c r="S74" s="11"/>
      <c r="T74" s="11"/>
      <c r="U74" s="11"/>
      <c r="V74" s="11"/>
      <c r="W74" s="11"/>
      <c r="X74" s="11"/>
      <c r="Y74" s="80"/>
    </row>
    <row r="75" ht="29.1" customHeight="1">
      <c r="A75" s="940"/>
      <c r="B75" s="955">
        <f>B74+1</f>
        <v>72</v>
      </c>
      <c r="C75" t="s" s="956">
        <v>313</v>
      </c>
      <c r="D75" t="s" s="957">
        <v>299</v>
      </c>
      <c r="E75" s="958"/>
      <c r="F75" s="958"/>
      <c r="G75" t="s" s="959">
        <v>181</v>
      </c>
      <c r="H75" t="s" s="959">
        <v>383</v>
      </c>
      <c r="I75" t="s" s="960">
        <v>181</v>
      </c>
      <c r="J75" t="s" s="960">
        <v>181</v>
      </c>
      <c r="K75" t="s" s="956">
        <v>181</v>
      </c>
      <c r="L75" s="949"/>
      <c r="M75" s="11"/>
      <c r="N75" s="11"/>
      <c r="O75" s="11"/>
      <c r="P75" s="11"/>
      <c r="Q75" s="11"/>
      <c r="R75" s="11"/>
      <c r="S75" s="11"/>
      <c r="T75" s="11"/>
      <c r="U75" s="11"/>
      <c r="V75" s="11"/>
      <c r="W75" s="11"/>
      <c r="X75" s="11"/>
      <c r="Y75" s="80"/>
    </row>
    <row r="76" ht="29.45" customHeight="1">
      <c r="A76" s="940"/>
      <c r="B76" s="955">
        <f>B75+1</f>
        <v>73</v>
      </c>
      <c r="C76" t="s" s="956">
        <v>317</v>
      </c>
      <c r="D76" t="s" s="957">
        <v>299</v>
      </c>
      <c r="E76" s="958"/>
      <c r="F76" s="958"/>
      <c r="G76" t="s" s="959">
        <v>139</v>
      </c>
      <c r="H76" t="s" s="959">
        <v>412</v>
      </c>
      <c r="I76" t="s" s="960">
        <v>181</v>
      </c>
      <c r="J76" t="s" s="960">
        <v>181</v>
      </c>
      <c r="K76" t="s" s="956">
        <v>181</v>
      </c>
      <c r="L76" s="949"/>
      <c r="M76" s="11"/>
      <c r="N76" s="11"/>
      <c r="O76" s="11"/>
      <c r="P76" s="11"/>
      <c r="Q76" s="11"/>
      <c r="R76" s="11"/>
      <c r="S76" s="11"/>
      <c r="T76" s="11"/>
      <c r="U76" s="11"/>
      <c r="V76" s="11"/>
      <c r="W76" s="11"/>
      <c r="X76" s="11"/>
      <c r="Y76" s="80"/>
    </row>
    <row r="77" ht="29.1" customHeight="1">
      <c r="A77" s="940"/>
      <c r="B77" s="955">
        <f>B76+1</f>
        <v>74</v>
      </c>
      <c r="C77" t="s" s="956">
        <v>314</v>
      </c>
      <c r="D77" t="s" s="957">
        <v>299</v>
      </c>
      <c r="E77" s="958"/>
      <c r="F77" s="958"/>
      <c r="G77" t="s" s="959">
        <v>181</v>
      </c>
      <c r="H77" t="s" s="959">
        <v>383</v>
      </c>
      <c r="I77" t="s" s="960">
        <v>181</v>
      </c>
      <c r="J77" t="s" s="960">
        <v>181</v>
      </c>
      <c r="K77" t="s" s="956">
        <v>181</v>
      </c>
      <c r="L77" s="949"/>
      <c r="M77" s="11"/>
      <c r="N77" s="11"/>
      <c r="O77" s="11"/>
      <c r="P77" s="11"/>
      <c r="Q77" s="11"/>
      <c r="R77" s="11"/>
      <c r="S77" s="11"/>
      <c r="T77" s="11"/>
      <c r="U77" s="11"/>
      <c r="V77" s="11"/>
      <c r="W77" s="11"/>
      <c r="X77" s="11"/>
      <c r="Y77" s="80"/>
    </row>
    <row r="78" ht="29.1" customHeight="1">
      <c r="A78" s="940"/>
      <c r="B78" s="955">
        <f>B77+1</f>
        <v>75</v>
      </c>
      <c r="C78" t="s" s="956">
        <v>310</v>
      </c>
      <c r="D78" t="s" s="957">
        <v>299</v>
      </c>
      <c r="E78" s="958"/>
      <c r="F78" s="958"/>
      <c r="G78" t="s" s="959">
        <v>151</v>
      </c>
      <c r="H78" t="s" s="959">
        <v>383</v>
      </c>
      <c r="I78" t="s" s="960">
        <v>181</v>
      </c>
      <c r="J78" t="s" s="960">
        <v>181</v>
      </c>
      <c r="K78" t="s" s="956">
        <v>181</v>
      </c>
      <c r="L78" s="949"/>
      <c r="M78" s="11"/>
      <c r="N78" s="11"/>
      <c r="O78" s="11"/>
      <c r="P78" s="11"/>
      <c r="Q78" s="11"/>
      <c r="R78" s="11"/>
      <c r="S78" s="11"/>
      <c r="T78" s="11"/>
      <c r="U78" s="11"/>
      <c r="V78" s="11"/>
      <c r="W78" s="11"/>
      <c r="X78" s="11"/>
      <c r="Y78" s="80"/>
    </row>
    <row r="79" ht="29.1" customHeight="1">
      <c r="A79" s="940"/>
      <c r="B79" s="955">
        <f>B78+1</f>
        <v>76</v>
      </c>
      <c r="C79" t="s" s="956">
        <v>315</v>
      </c>
      <c r="D79" t="s" s="957">
        <v>299</v>
      </c>
      <c r="E79" s="958"/>
      <c r="F79" s="958"/>
      <c r="G79" t="s" s="959">
        <v>181</v>
      </c>
      <c r="H79" t="s" s="959">
        <v>383</v>
      </c>
      <c r="I79" t="s" s="960">
        <v>181</v>
      </c>
      <c r="J79" t="s" s="960">
        <v>181</v>
      </c>
      <c r="K79" t="s" s="956">
        <v>181</v>
      </c>
      <c r="L79" s="949"/>
      <c r="M79" s="11"/>
      <c r="N79" s="11"/>
      <c r="O79" s="11"/>
      <c r="P79" s="11"/>
      <c r="Q79" s="11"/>
      <c r="R79" s="11"/>
      <c r="S79" s="11"/>
      <c r="T79" s="11"/>
      <c r="U79" s="11"/>
      <c r="V79" s="11"/>
      <c r="W79" s="11"/>
      <c r="X79" s="11"/>
      <c r="Y79" s="80"/>
    </row>
    <row r="80" ht="29.45" customHeight="1">
      <c r="A80" s="940"/>
      <c r="B80" s="961">
        <f>B79+1</f>
        <v>77</v>
      </c>
      <c r="C80" t="s" s="962">
        <v>311</v>
      </c>
      <c r="D80" t="s" s="970">
        <v>299</v>
      </c>
      <c r="E80" s="186"/>
      <c r="F80" s="186"/>
      <c r="G80" t="s" s="963">
        <v>151</v>
      </c>
      <c r="H80" t="s" s="963">
        <v>383</v>
      </c>
      <c r="I80" t="s" s="964">
        <v>181</v>
      </c>
      <c r="J80" t="s" s="964">
        <v>181</v>
      </c>
      <c r="K80" t="s" s="956">
        <v>181</v>
      </c>
      <c r="L80" s="949"/>
      <c r="M80" s="11"/>
      <c r="N80" s="11"/>
      <c r="O80" s="11"/>
      <c r="P80" s="11"/>
      <c r="Q80" s="11"/>
      <c r="R80" s="11"/>
      <c r="S80" s="11"/>
      <c r="T80" s="11"/>
      <c r="U80" s="11"/>
      <c r="V80" s="11"/>
      <c r="W80" s="11"/>
      <c r="X80" s="11"/>
      <c r="Y80" s="80"/>
    </row>
    <row r="81" ht="14.05" customHeight="1">
      <c r="A81" s="940"/>
      <c r="B81" s="965">
        <f>B80+1</f>
        <v>78</v>
      </c>
      <c r="C81" t="s" s="966">
        <v>335</v>
      </c>
      <c r="D81" t="s" s="967">
        <v>445</v>
      </c>
      <c r="E81" s="968"/>
      <c r="F81" s="968"/>
      <c r="G81" t="s" s="967">
        <v>151</v>
      </c>
      <c r="H81" t="s" s="969">
        <v>446</v>
      </c>
      <c r="I81" t="s" s="966">
        <v>151</v>
      </c>
      <c r="J81" t="s" s="274">
        <v>181</v>
      </c>
      <c r="K81" t="s" s="956">
        <v>181</v>
      </c>
      <c r="L81" s="949"/>
      <c r="M81" s="11"/>
      <c r="N81" s="11"/>
      <c r="O81" s="11"/>
      <c r="P81" s="11"/>
      <c r="Q81" s="11"/>
      <c r="R81" s="11"/>
      <c r="S81" s="11"/>
      <c r="T81" s="11"/>
      <c r="U81" s="11"/>
      <c r="V81" s="11"/>
      <c r="W81" s="11"/>
      <c r="X81" s="11"/>
      <c r="Y81" s="80"/>
    </row>
    <row r="82" ht="13.55" customHeight="1">
      <c r="A82" s="940"/>
      <c r="B82" s="955">
        <f>B81+1</f>
        <v>79</v>
      </c>
      <c r="C82" t="s" s="956">
        <v>334</v>
      </c>
      <c r="D82" t="s" s="957">
        <v>445</v>
      </c>
      <c r="E82" s="958"/>
      <c r="F82" s="958"/>
      <c r="G82" t="s" s="957">
        <v>151</v>
      </c>
      <c r="H82" t="s" s="959">
        <v>446</v>
      </c>
      <c r="I82" t="s" s="956">
        <v>151</v>
      </c>
      <c r="J82" t="s" s="960">
        <v>181</v>
      </c>
      <c r="K82" t="s" s="956">
        <v>181</v>
      </c>
      <c r="L82" s="949"/>
      <c r="M82" s="11"/>
      <c r="N82" s="11"/>
      <c r="O82" s="11"/>
      <c r="P82" s="11"/>
      <c r="Q82" s="11"/>
      <c r="R82" s="11"/>
      <c r="S82" s="11"/>
      <c r="T82" s="11"/>
      <c r="U82" s="11"/>
      <c r="V82" s="11"/>
      <c r="W82" s="11"/>
      <c r="X82" s="11"/>
      <c r="Y82" s="80"/>
    </row>
    <row r="83" ht="15" customHeight="1">
      <c r="A83" s="940"/>
      <c r="B83" s="961">
        <f>B82+1</f>
        <v>80</v>
      </c>
      <c r="C83" t="s" s="962">
        <v>336</v>
      </c>
      <c r="D83" t="s" s="970">
        <v>445</v>
      </c>
      <c r="E83" s="186"/>
      <c r="F83" s="186"/>
      <c r="G83" t="s" s="970">
        <v>181</v>
      </c>
      <c r="H83" t="s" s="963">
        <v>447</v>
      </c>
      <c r="I83" t="s" s="962">
        <v>151</v>
      </c>
      <c r="J83" t="s" s="964">
        <v>62</v>
      </c>
      <c r="K83" t="s" s="956">
        <v>181</v>
      </c>
      <c r="L83" s="949"/>
      <c r="M83" s="11"/>
      <c r="N83" s="11"/>
      <c r="O83" s="11"/>
      <c r="P83" s="11"/>
      <c r="Q83" s="11"/>
      <c r="R83" s="11"/>
      <c r="S83" s="11"/>
      <c r="T83" s="11"/>
      <c r="U83" s="11"/>
      <c r="V83" s="11"/>
      <c r="W83" s="11"/>
      <c r="X83" s="11"/>
      <c r="Y83" s="80"/>
    </row>
    <row r="84" ht="14.05" customHeight="1">
      <c r="A84" s="940"/>
      <c r="B84" s="965">
        <f>B83+1</f>
        <v>81</v>
      </c>
      <c r="C84" s="968"/>
      <c r="D84" s="971"/>
      <c r="E84" s="972"/>
      <c r="F84" s="972"/>
      <c r="G84" s="971"/>
      <c r="H84" s="973"/>
      <c r="I84" s="972"/>
      <c r="J84" s="972"/>
      <c r="K84" t="s" s="956">
        <v>181</v>
      </c>
      <c r="L84" s="949"/>
      <c r="M84" s="11"/>
      <c r="N84" s="11"/>
      <c r="O84" s="11"/>
      <c r="P84" s="11"/>
      <c r="Q84" s="11"/>
      <c r="R84" s="11"/>
      <c r="S84" s="11"/>
      <c r="T84" s="11"/>
      <c r="U84" s="11"/>
      <c r="V84" s="11"/>
      <c r="W84" s="11"/>
      <c r="X84" s="11"/>
      <c r="Y84" s="80"/>
    </row>
    <row r="85" ht="13.55" customHeight="1">
      <c r="A85" s="940"/>
      <c r="B85" s="955">
        <f>B84+1</f>
        <v>82</v>
      </c>
      <c r="C85" s="974"/>
      <c r="D85" s="975"/>
      <c r="E85" s="974"/>
      <c r="F85" s="974"/>
      <c r="G85" s="975"/>
      <c r="H85" s="976"/>
      <c r="I85" s="974"/>
      <c r="J85" s="974"/>
      <c r="K85" s="958"/>
      <c r="L85" s="949"/>
      <c r="M85" s="11"/>
      <c r="N85" s="11"/>
      <c r="O85" s="11"/>
      <c r="P85" s="11"/>
      <c r="Q85" s="11"/>
      <c r="R85" s="11"/>
      <c r="S85" s="11"/>
      <c r="T85" s="11"/>
      <c r="U85" s="11"/>
      <c r="V85" s="11"/>
      <c r="W85" s="11"/>
      <c r="X85" s="11"/>
      <c r="Y85" s="80"/>
    </row>
    <row r="86" ht="13.55" customHeight="1">
      <c r="A86" s="940"/>
      <c r="B86" s="955">
        <f>B85+1</f>
        <v>83</v>
      </c>
      <c r="C86" s="974"/>
      <c r="D86" s="975"/>
      <c r="E86" s="974"/>
      <c r="F86" s="974"/>
      <c r="G86" s="975"/>
      <c r="H86" s="976"/>
      <c r="I86" s="974"/>
      <c r="J86" s="974"/>
      <c r="K86" s="958"/>
      <c r="L86" s="949"/>
      <c r="M86" s="11"/>
      <c r="N86" s="11"/>
      <c r="O86" s="11"/>
      <c r="P86" s="11"/>
      <c r="Q86" s="11"/>
      <c r="R86" s="11"/>
      <c r="S86" s="11"/>
      <c r="T86" s="11"/>
      <c r="U86" s="11"/>
      <c r="V86" s="11"/>
      <c r="W86" s="11"/>
      <c r="X86" s="11"/>
      <c r="Y86" s="80"/>
    </row>
    <row r="87" ht="13.55" customHeight="1">
      <c r="A87" s="940"/>
      <c r="B87" s="955">
        <f>B86+1</f>
        <v>84</v>
      </c>
      <c r="C87" s="974"/>
      <c r="D87" s="975"/>
      <c r="E87" s="974"/>
      <c r="F87" s="974"/>
      <c r="G87" s="975"/>
      <c r="H87" s="976"/>
      <c r="I87" s="974"/>
      <c r="J87" s="974"/>
      <c r="K87" s="958"/>
      <c r="L87" s="949"/>
      <c r="M87" s="11"/>
      <c r="N87" s="11"/>
      <c r="O87" s="11"/>
      <c r="P87" s="11"/>
      <c r="Q87" s="11"/>
      <c r="R87" s="11"/>
      <c r="S87" s="11"/>
      <c r="T87" s="11"/>
      <c r="U87" s="11"/>
      <c r="V87" s="11"/>
      <c r="W87" s="11"/>
      <c r="X87" s="11"/>
      <c r="Y87" s="80"/>
    </row>
    <row r="88" ht="13.55" customHeight="1">
      <c r="A88" s="940"/>
      <c r="B88" s="955">
        <f>B87+1</f>
        <v>85</v>
      </c>
      <c r="C88" s="974"/>
      <c r="D88" s="975"/>
      <c r="E88" s="974"/>
      <c r="F88" s="974"/>
      <c r="G88" s="975"/>
      <c r="H88" s="976"/>
      <c r="I88" s="974"/>
      <c r="J88" s="974"/>
      <c r="K88" s="958"/>
      <c r="L88" s="949"/>
      <c r="M88" s="11"/>
      <c r="N88" s="11"/>
      <c r="O88" s="11"/>
      <c r="P88" s="11"/>
      <c r="Q88" s="11"/>
      <c r="R88" s="11"/>
      <c r="S88" s="11"/>
      <c r="T88" s="11"/>
      <c r="U88" s="11"/>
      <c r="V88" s="11"/>
      <c r="W88" s="11"/>
      <c r="X88" s="11"/>
      <c r="Y88" s="80"/>
    </row>
    <row r="89" ht="13.55" customHeight="1">
      <c r="A89" s="940"/>
      <c r="B89" s="955">
        <f>B88+1</f>
        <v>86</v>
      </c>
      <c r="C89" s="974"/>
      <c r="D89" s="975"/>
      <c r="E89" s="974"/>
      <c r="F89" s="974"/>
      <c r="G89" s="975"/>
      <c r="H89" s="976"/>
      <c r="I89" s="974"/>
      <c r="J89" s="974"/>
      <c r="K89" s="958"/>
      <c r="L89" s="949"/>
      <c r="M89" s="11"/>
      <c r="N89" s="11"/>
      <c r="O89" s="11"/>
      <c r="P89" s="11"/>
      <c r="Q89" s="11"/>
      <c r="R89" s="11"/>
      <c r="S89" s="11"/>
      <c r="T89" s="11"/>
      <c r="U89" s="11"/>
      <c r="V89" s="11"/>
      <c r="W89" s="11"/>
      <c r="X89" s="11"/>
      <c r="Y89" s="80"/>
    </row>
    <row r="90" ht="13.55" customHeight="1">
      <c r="A90" s="940"/>
      <c r="B90" s="955">
        <f>B89+1</f>
        <v>87</v>
      </c>
      <c r="C90" s="974"/>
      <c r="D90" s="975"/>
      <c r="E90" s="974"/>
      <c r="F90" s="974"/>
      <c r="G90" s="975"/>
      <c r="H90" s="976"/>
      <c r="I90" s="974"/>
      <c r="J90" s="974"/>
      <c r="K90" s="958"/>
      <c r="L90" s="949"/>
      <c r="M90" s="11"/>
      <c r="N90" s="11"/>
      <c r="O90" s="11"/>
      <c r="P90" s="11"/>
      <c r="Q90" s="11"/>
      <c r="R90" s="11"/>
      <c r="S90" s="11"/>
      <c r="T90" s="11"/>
      <c r="U90" s="11"/>
      <c r="V90" s="11"/>
      <c r="W90" s="11"/>
      <c r="X90" s="11"/>
      <c r="Y90" s="80"/>
    </row>
    <row r="91" ht="13.55" customHeight="1">
      <c r="A91" s="940"/>
      <c r="B91" s="955">
        <f>B90+1</f>
        <v>88</v>
      </c>
      <c r="C91" s="974"/>
      <c r="D91" s="975"/>
      <c r="E91" s="974"/>
      <c r="F91" s="974"/>
      <c r="G91" s="975"/>
      <c r="H91" s="976"/>
      <c r="I91" s="974"/>
      <c r="J91" s="974"/>
      <c r="K91" s="958"/>
      <c r="L91" s="949"/>
      <c r="M91" s="11"/>
      <c r="N91" s="11"/>
      <c r="O91" s="11"/>
      <c r="P91" s="11"/>
      <c r="Q91" s="11"/>
      <c r="R91" s="11"/>
      <c r="S91" s="11"/>
      <c r="T91" s="11"/>
      <c r="U91" s="11"/>
      <c r="V91" s="11"/>
      <c r="W91" s="11"/>
      <c r="X91" s="11"/>
      <c r="Y91" s="80"/>
    </row>
    <row r="92" ht="13.55" customHeight="1">
      <c r="A92" s="940"/>
      <c r="B92" s="955">
        <f>B91+1</f>
        <v>89</v>
      </c>
      <c r="C92" s="974"/>
      <c r="D92" s="975"/>
      <c r="E92" s="974"/>
      <c r="F92" s="974"/>
      <c r="G92" s="975"/>
      <c r="H92" s="976"/>
      <c r="I92" s="974"/>
      <c r="J92" s="974"/>
      <c r="K92" s="958"/>
      <c r="L92" s="949"/>
      <c r="M92" s="11"/>
      <c r="N92" s="11"/>
      <c r="O92" s="11"/>
      <c r="P92" s="11"/>
      <c r="Q92" s="11"/>
      <c r="R92" s="11"/>
      <c r="S92" s="11"/>
      <c r="T92" s="11"/>
      <c r="U92" s="11"/>
      <c r="V92" s="11"/>
      <c r="W92" s="11"/>
      <c r="X92" s="11"/>
      <c r="Y92" s="80"/>
    </row>
    <row r="93" ht="13.55" customHeight="1">
      <c r="A93" s="940"/>
      <c r="B93" s="955">
        <f>B92+1</f>
        <v>90</v>
      </c>
      <c r="C93" s="974"/>
      <c r="D93" s="975"/>
      <c r="E93" s="974"/>
      <c r="F93" s="974"/>
      <c r="G93" s="975"/>
      <c r="H93" s="976"/>
      <c r="I93" s="974"/>
      <c r="J93" s="974"/>
      <c r="K93" s="958"/>
      <c r="L93" s="949"/>
      <c r="M93" s="11"/>
      <c r="N93" s="11"/>
      <c r="O93" s="11"/>
      <c r="P93" s="11"/>
      <c r="Q93" s="11"/>
      <c r="R93" s="11"/>
      <c r="S93" s="11"/>
      <c r="T93" s="11"/>
      <c r="U93" s="11"/>
      <c r="V93" s="11"/>
      <c r="W93" s="11"/>
      <c r="X93" s="11"/>
      <c r="Y93" s="80"/>
    </row>
    <row r="94" ht="13.55" customHeight="1">
      <c r="A94" s="940"/>
      <c r="B94" s="955">
        <f>B93+1</f>
        <v>91</v>
      </c>
      <c r="C94" s="974"/>
      <c r="D94" s="975"/>
      <c r="E94" s="974"/>
      <c r="F94" s="974"/>
      <c r="G94" s="975"/>
      <c r="H94" s="976"/>
      <c r="I94" s="974"/>
      <c r="J94" s="974"/>
      <c r="K94" s="958"/>
      <c r="L94" s="949"/>
      <c r="M94" s="11"/>
      <c r="N94" s="11"/>
      <c r="O94" s="11"/>
      <c r="P94" s="11"/>
      <c r="Q94" s="11"/>
      <c r="R94" s="11"/>
      <c r="S94" s="11"/>
      <c r="T94" s="11"/>
      <c r="U94" s="11"/>
      <c r="V94" s="11"/>
      <c r="W94" s="11"/>
      <c r="X94" s="11"/>
      <c r="Y94" s="80"/>
    </row>
    <row r="95" ht="13.55" customHeight="1">
      <c r="A95" s="940"/>
      <c r="B95" s="955">
        <f>B94+1</f>
        <v>92</v>
      </c>
      <c r="C95" s="974"/>
      <c r="D95" s="975"/>
      <c r="E95" s="974"/>
      <c r="F95" s="974"/>
      <c r="G95" s="975"/>
      <c r="H95" s="976"/>
      <c r="I95" s="974"/>
      <c r="J95" s="974"/>
      <c r="K95" s="958"/>
      <c r="L95" s="949"/>
      <c r="M95" s="11"/>
      <c r="N95" s="11"/>
      <c r="O95" s="11"/>
      <c r="P95" s="11"/>
      <c r="Q95" s="11"/>
      <c r="R95" s="11"/>
      <c r="S95" s="11"/>
      <c r="T95" s="11"/>
      <c r="U95" s="11"/>
      <c r="V95" s="11"/>
      <c r="W95" s="11"/>
      <c r="X95" s="11"/>
      <c r="Y95" s="80"/>
    </row>
    <row r="96" ht="13.55" customHeight="1">
      <c r="A96" s="940"/>
      <c r="B96" s="955">
        <f>B95+1</f>
        <v>93</v>
      </c>
      <c r="C96" s="974"/>
      <c r="D96" s="975"/>
      <c r="E96" s="974"/>
      <c r="F96" s="974"/>
      <c r="G96" s="975"/>
      <c r="H96" s="976"/>
      <c r="I96" s="974"/>
      <c r="J96" s="974"/>
      <c r="K96" s="958"/>
      <c r="L96" s="949"/>
      <c r="M96" s="11"/>
      <c r="N96" s="11"/>
      <c r="O96" s="11"/>
      <c r="P96" s="11"/>
      <c r="Q96" s="11"/>
      <c r="R96" s="11"/>
      <c r="S96" s="11"/>
      <c r="T96" s="11"/>
      <c r="U96" s="11"/>
      <c r="V96" s="11"/>
      <c r="W96" s="11"/>
      <c r="X96" s="11"/>
      <c r="Y96" s="80"/>
    </row>
    <row r="97" ht="13.55" customHeight="1">
      <c r="A97" s="940"/>
      <c r="B97" s="955">
        <f>B96+1</f>
        <v>94</v>
      </c>
      <c r="C97" s="974"/>
      <c r="D97" s="975"/>
      <c r="E97" s="974"/>
      <c r="F97" s="974"/>
      <c r="G97" s="975"/>
      <c r="H97" s="976"/>
      <c r="I97" s="974"/>
      <c r="J97" s="974"/>
      <c r="K97" s="958"/>
      <c r="L97" s="949"/>
      <c r="M97" s="11"/>
      <c r="N97" s="11"/>
      <c r="O97" s="11"/>
      <c r="P97" s="11"/>
      <c r="Q97" s="11"/>
      <c r="R97" s="11"/>
      <c r="S97" s="11"/>
      <c r="T97" s="11"/>
      <c r="U97" s="11"/>
      <c r="V97" s="11"/>
      <c r="W97" s="11"/>
      <c r="X97" s="11"/>
      <c r="Y97" s="80"/>
    </row>
    <row r="98" ht="13.55" customHeight="1">
      <c r="A98" s="940"/>
      <c r="B98" s="955">
        <f>B97+1</f>
        <v>95</v>
      </c>
      <c r="C98" s="974"/>
      <c r="D98" s="975"/>
      <c r="E98" s="974"/>
      <c r="F98" s="974"/>
      <c r="G98" s="975"/>
      <c r="H98" s="976"/>
      <c r="I98" s="974"/>
      <c r="J98" s="974"/>
      <c r="K98" s="958"/>
      <c r="L98" s="949"/>
      <c r="M98" s="11"/>
      <c r="N98" s="11"/>
      <c r="O98" s="11"/>
      <c r="P98" s="11"/>
      <c r="Q98" s="11"/>
      <c r="R98" s="11"/>
      <c r="S98" s="11"/>
      <c r="T98" s="11"/>
      <c r="U98" s="11"/>
      <c r="V98" s="11"/>
      <c r="W98" s="11"/>
      <c r="X98" s="11"/>
      <c r="Y98" s="80"/>
    </row>
    <row r="99" ht="13.55" customHeight="1">
      <c r="A99" s="940"/>
      <c r="B99" s="955">
        <f>B98+1</f>
        <v>96</v>
      </c>
      <c r="C99" s="974"/>
      <c r="D99" s="975"/>
      <c r="E99" s="974"/>
      <c r="F99" s="974"/>
      <c r="G99" s="975"/>
      <c r="H99" s="976"/>
      <c r="I99" s="974"/>
      <c r="J99" s="974"/>
      <c r="K99" s="958"/>
      <c r="L99" s="949"/>
      <c r="M99" s="11"/>
      <c r="N99" s="11"/>
      <c r="O99" s="11"/>
      <c r="P99" s="11"/>
      <c r="Q99" s="11"/>
      <c r="R99" s="11"/>
      <c r="S99" s="11"/>
      <c r="T99" s="11"/>
      <c r="U99" s="11"/>
      <c r="V99" s="11"/>
      <c r="W99" s="11"/>
      <c r="X99" s="11"/>
      <c r="Y99" s="80"/>
    </row>
    <row r="100" ht="13.55" customHeight="1">
      <c r="A100" s="940"/>
      <c r="B100" s="955">
        <f>B99+1</f>
        <v>97</v>
      </c>
      <c r="C100" s="974"/>
      <c r="D100" s="975"/>
      <c r="E100" s="974"/>
      <c r="F100" s="974"/>
      <c r="G100" s="975"/>
      <c r="H100" s="976"/>
      <c r="I100" s="974"/>
      <c r="J100" s="974"/>
      <c r="K100" s="958"/>
      <c r="L100" s="949"/>
      <c r="M100" s="11"/>
      <c r="N100" s="11"/>
      <c r="O100" s="11"/>
      <c r="P100" s="11"/>
      <c r="Q100" s="11"/>
      <c r="R100" s="11"/>
      <c r="S100" s="11"/>
      <c r="T100" s="11"/>
      <c r="U100" s="11"/>
      <c r="V100" s="11"/>
      <c r="W100" s="11"/>
      <c r="X100" s="11"/>
      <c r="Y100" s="80"/>
    </row>
    <row r="101" ht="13.55" customHeight="1">
      <c r="A101" s="940"/>
      <c r="B101" s="955">
        <f>B100+1</f>
        <v>98</v>
      </c>
      <c r="C101" s="974"/>
      <c r="D101" s="975"/>
      <c r="E101" s="974"/>
      <c r="F101" s="974"/>
      <c r="G101" s="975"/>
      <c r="H101" s="976"/>
      <c r="I101" s="974"/>
      <c r="J101" s="974"/>
      <c r="K101" s="958"/>
      <c r="L101" s="949"/>
      <c r="M101" s="11"/>
      <c r="N101" s="11"/>
      <c r="O101" s="11"/>
      <c r="P101" s="11"/>
      <c r="Q101" s="11"/>
      <c r="R101" s="11"/>
      <c r="S101" s="11"/>
      <c r="T101" s="11"/>
      <c r="U101" s="11"/>
      <c r="V101" s="11"/>
      <c r="W101" s="11"/>
      <c r="X101" s="11"/>
      <c r="Y101" s="80"/>
    </row>
    <row r="102" ht="13.55" customHeight="1">
      <c r="A102" s="940"/>
      <c r="B102" s="955">
        <f>B101+1</f>
        <v>99</v>
      </c>
      <c r="C102" s="977"/>
      <c r="D102" s="978"/>
      <c r="E102" s="979"/>
      <c r="F102" s="979"/>
      <c r="G102" s="978"/>
      <c r="H102" s="980"/>
      <c r="I102" s="979"/>
      <c r="J102" s="981"/>
      <c r="K102" s="958"/>
      <c r="L102" s="949"/>
      <c r="M102" s="11"/>
      <c r="N102" s="11"/>
      <c r="O102" s="11"/>
      <c r="P102" s="11"/>
      <c r="Q102" s="11"/>
      <c r="R102" s="11"/>
      <c r="S102" s="11"/>
      <c r="T102" s="11"/>
      <c r="U102" s="11"/>
      <c r="V102" s="11"/>
      <c r="W102" s="11"/>
      <c r="X102" s="11"/>
      <c r="Y102" s="80"/>
    </row>
    <row r="103" ht="13.55" customHeight="1">
      <c r="A103" s="10"/>
      <c r="B103" s="982"/>
      <c r="C103" s="240"/>
      <c r="D103" s="240"/>
      <c r="E103" s="240"/>
      <c r="F103" s="240"/>
      <c r="G103" s="240"/>
      <c r="H103" s="240"/>
      <c r="I103" s="240"/>
      <c r="J103" s="240"/>
      <c r="K103" s="922"/>
      <c r="L103" s="11"/>
      <c r="M103" s="11"/>
      <c r="N103" s="11"/>
      <c r="O103" s="11"/>
      <c r="P103" s="11"/>
      <c r="Q103" s="11"/>
      <c r="R103" s="11"/>
      <c r="S103" s="11"/>
      <c r="T103" s="11"/>
      <c r="U103" s="11"/>
      <c r="V103" s="11"/>
      <c r="W103" s="11"/>
      <c r="X103" s="11"/>
      <c r="Y103" s="80"/>
    </row>
    <row r="104" ht="13.55" customHeight="1">
      <c r="A104" s="10"/>
      <c r="B104" s="240"/>
      <c r="C104" s="240"/>
      <c r="D104" s="240"/>
      <c r="E104" s="240"/>
      <c r="F104" s="240"/>
      <c r="G104" s="240"/>
      <c r="H104" s="240"/>
      <c r="I104" s="240"/>
      <c r="J104" s="240"/>
      <c r="K104" s="11"/>
      <c r="L104" s="11"/>
      <c r="M104" s="11"/>
      <c r="N104" s="11"/>
      <c r="O104" s="11"/>
      <c r="P104" s="11"/>
      <c r="Q104" s="11"/>
      <c r="R104" s="11"/>
      <c r="S104" s="11"/>
      <c r="T104" s="11"/>
      <c r="U104" s="11"/>
      <c r="V104" s="11"/>
      <c r="W104" s="11"/>
      <c r="X104" s="11"/>
      <c r="Y104" s="80"/>
    </row>
    <row r="105" ht="13.55" customHeight="1">
      <c r="A105" s="10"/>
      <c r="B105" s="240"/>
      <c r="C105" s="240"/>
      <c r="D105" s="240"/>
      <c r="E105" s="240"/>
      <c r="F105" s="240"/>
      <c r="G105" s="240"/>
      <c r="H105" s="240"/>
      <c r="I105" s="240"/>
      <c r="J105" s="240"/>
      <c r="K105" s="11"/>
      <c r="L105" s="11"/>
      <c r="M105" s="11"/>
      <c r="N105" s="11"/>
      <c r="O105" s="11"/>
      <c r="P105" s="11"/>
      <c r="Q105" s="11"/>
      <c r="R105" s="11"/>
      <c r="S105" s="11"/>
      <c r="T105" s="11"/>
      <c r="U105" s="11"/>
      <c r="V105" s="11"/>
      <c r="W105" s="11"/>
      <c r="X105" s="11"/>
      <c r="Y105" s="80"/>
    </row>
    <row r="106" ht="13.55" customHeight="1">
      <c r="A106" s="10"/>
      <c r="B106" s="240"/>
      <c r="C106" s="240"/>
      <c r="D106" s="240"/>
      <c r="E106" s="240"/>
      <c r="F106" s="240"/>
      <c r="G106" s="240"/>
      <c r="H106" s="240"/>
      <c r="I106" s="240"/>
      <c r="J106" s="240"/>
      <c r="K106" s="11"/>
      <c r="L106" s="11"/>
      <c r="M106" s="11"/>
      <c r="N106" s="11"/>
      <c r="O106" s="11"/>
      <c r="P106" s="11"/>
      <c r="Q106" s="11"/>
      <c r="R106" s="11"/>
      <c r="S106" s="11"/>
      <c r="T106" s="11"/>
      <c r="U106" s="11"/>
      <c r="V106" s="11"/>
      <c r="W106" s="11"/>
      <c r="X106" s="11"/>
      <c r="Y106" s="80"/>
    </row>
    <row r="107" ht="13.55" customHeight="1">
      <c r="A107" s="10"/>
      <c r="B107" s="11"/>
      <c r="C107" s="11"/>
      <c r="D107" s="859"/>
      <c r="E107" s="11"/>
      <c r="F107" s="11"/>
      <c r="G107" s="859"/>
      <c r="H107" s="845"/>
      <c r="I107" s="11"/>
      <c r="J107" s="11"/>
      <c r="K107" s="11"/>
      <c r="L107" s="11"/>
      <c r="M107" s="11"/>
      <c r="N107" s="11"/>
      <c r="O107" s="11"/>
      <c r="P107" s="11"/>
      <c r="Q107" s="11"/>
      <c r="R107" s="11"/>
      <c r="S107" s="11"/>
      <c r="T107" s="11"/>
      <c r="U107" s="11"/>
      <c r="V107" s="11"/>
      <c r="W107" s="11"/>
      <c r="X107" s="11"/>
      <c r="Y107" s="80"/>
    </row>
    <row r="108" ht="13.55" customHeight="1">
      <c r="A108" s="10"/>
      <c r="B108" s="11"/>
      <c r="C108" s="11"/>
      <c r="D108" s="859"/>
      <c r="E108" s="11"/>
      <c r="F108" s="11"/>
      <c r="G108" s="859"/>
      <c r="H108" s="845"/>
      <c r="I108" s="11"/>
      <c r="J108" s="11"/>
      <c r="K108" s="11"/>
      <c r="L108" s="11"/>
      <c r="M108" s="11"/>
      <c r="N108" s="11"/>
      <c r="O108" s="11"/>
      <c r="P108" s="11"/>
      <c r="Q108" s="11"/>
      <c r="R108" s="11"/>
      <c r="S108" s="11"/>
      <c r="T108" s="11"/>
      <c r="U108" s="11"/>
      <c r="V108" s="11"/>
      <c r="W108" s="11"/>
      <c r="X108" s="11"/>
      <c r="Y108" s="80"/>
    </row>
    <row r="109" ht="13.55" customHeight="1">
      <c r="A109" s="10"/>
      <c r="B109" s="11"/>
      <c r="C109" s="11"/>
      <c r="D109" s="859"/>
      <c r="E109" s="11"/>
      <c r="F109" s="11"/>
      <c r="G109" s="859"/>
      <c r="H109" s="845"/>
      <c r="I109" s="11"/>
      <c r="J109" s="11"/>
      <c r="K109" s="11"/>
      <c r="L109" s="11"/>
      <c r="M109" s="11"/>
      <c r="N109" s="11"/>
      <c r="O109" s="11"/>
      <c r="P109" s="11"/>
      <c r="Q109" s="11"/>
      <c r="R109" s="11"/>
      <c r="S109" s="11"/>
      <c r="T109" s="11"/>
      <c r="U109" s="11"/>
      <c r="V109" s="11"/>
      <c r="W109" s="11"/>
      <c r="X109" s="11"/>
      <c r="Y109" s="80"/>
    </row>
    <row r="110" ht="13.55" customHeight="1">
      <c r="A110" s="195"/>
      <c r="B110" s="655"/>
      <c r="C110" s="196"/>
      <c r="D110" s="983"/>
      <c r="E110" s="196"/>
      <c r="F110" s="196"/>
      <c r="G110" s="983"/>
      <c r="H110" s="984"/>
      <c r="I110" s="196"/>
      <c r="J110" s="196"/>
      <c r="K110" s="196"/>
      <c r="L110" s="196"/>
      <c r="M110" s="196"/>
      <c r="N110" s="196"/>
      <c r="O110" s="196"/>
      <c r="P110" s="196"/>
      <c r="Q110" s="196"/>
      <c r="R110" s="196"/>
      <c r="S110" s="196"/>
      <c r="T110" s="196"/>
      <c r="U110" s="196"/>
      <c r="V110" s="196"/>
      <c r="W110" s="196"/>
      <c r="X110" s="196"/>
      <c r="Y110" s="197"/>
    </row>
  </sheetData>
  <mergeCells count="5">
    <mergeCell ref="B1:J1"/>
    <mergeCell ref="B2:B3"/>
    <mergeCell ref="C2:F2"/>
    <mergeCell ref="G2:H2"/>
    <mergeCell ref="I2:J2"/>
  </mergeCells>
  <pageMargins left="0.708661" right="0.708661" top="0.511811" bottom="0.511811" header="0.314961" footer="0.314961"/>
  <pageSetup firstPageNumber="1" fitToHeight="1" fitToWidth="1" scale="100" useFirstPageNumber="0" orientation="landscape" pageOrder="downThenOver"/>
  <headerFooter>
    <oddFooter>&amp;C&amp;"Helvetica Neue,Regular"&amp;12&amp;K000000&amp;P</oddFooter>
  </headerFooter>
</worksheet>
</file>

<file path=xl/worksheets/sheet11.xml><?xml version="1.0" encoding="utf-8"?>
<worksheet xmlns:r="http://schemas.openxmlformats.org/officeDocument/2006/relationships" xmlns="http://schemas.openxmlformats.org/spreadsheetml/2006/main">
  <sheetPr>
    <pageSetUpPr fitToPage="1"/>
  </sheetPr>
  <dimension ref="A1:N106"/>
  <sheetViews>
    <sheetView workbookViewId="0" showGridLines="0" defaultGridColor="1"/>
  </sheetViews>
  <sheetFormatPr defaultColWidth="9.16667" defaultRowHeight="15" customHeight="1" outlineLevelRow="0" outlineLevelCol="0"/>
  <cols>
    <col min="1" max="1" width="8.85156" style="985" customWidth="1"/>
    <col min="2" max="2" width="79.3516" style="985" customWidth="1"/>
    <col min="3" max="3" width="24.1719" style="985" customWidth="1"/>
    <col min="4" max="4" width="31.1719" style="985" customWidth="1"/>
    <col min="5" max="5" width="114.5" style="985" customWidth="1"/>
    <col min="6" max="6" width="35.6719" style="985" customWidth="1"/>
    <col min="7" max="11" width="17.8516" style="985" customWidth="1"/>
    <col min="12" max="13" width="41.3516" style="985" customWidth="1"/>
    <col min="14" max="14" width="96" style="985" customWidth="1"/>
    <col min="15" max="16384" width="9.17188" style="985" customWidth="1"/>
  </cols>
  <sheetData>
    <row r="1" ht="14.05" customHeight="1">
      <c r="A1" s="936"/>
      <c r="B1" t="s" s="986">
        <v>449</v>
      </c>
      <c r="C1" s="987"/>
      <c r="D1" s="987"/>
      <c r="E1" s="987"/>
      <c r="F1" s="987"/>
      <c r="G1" s="987"/>
      <c r="H1" s="987"/>
      <c r="I1" s="987"/>
      <c r="J1" s="987"/>
      <c r="K1" s="987"/>
      <c r="L1" s="987"/>
      <c r="M1" s="987"/>
      <c r="N1" s="988"/>
    </row>
    <row r="2" ht="15" customHeight="1">
      <c r="A2" s="27"/>
      <c r="B2" s="989"/>
      <c r="C2" s="990"/>
      <c r="D2" s="990"/>
      <c r="E2" s="990"/>
      <c r="F2" s="990"/>
      <c r="G2" s="990"/>
      <c r="H2" s="990"/>
      <c r="I2" s="990"/>
      <c r="J2" s="990"/>
      <c r="K2" s="990"/>
      <c r="L2" s="990"/>
      <c r="M2" s="990"/>
      <c r="N2" s="991"/>
    </row>
    <row r="3" ht="18.6" customHeight="1">
      <c r="A3" s="27"/>
      <c r="B3" t="s" s="992">
        <v>333</v>
      </c>
      <c r="C3" t="s" s="993">
        <v>250</v>
      </c>
      <c r="D3" s="994"/>
      <c r="E3" s="994"/>
      <c r="F3" s="995"/>
      <c r="G3" t="s" s="996">
        <v>450</v>
      </c>
      <c r="H3" s="997"/>
      <c r="I3" s="997"/>
      <c r="J3" s="997"/>
      <c r="K3" s="997"/>
      <c r="L3" s="997"/>
      <c r="M3" s="998"/>
      <c r="N3" t="s" s="999">
        <v>451</v>
      </c>
    </row>
    <row r="4" ht="98.25" customHeight="1">
      <c r="A4" s="27"/>
      <c r="B4" s="1000"/>
      <c r="C4" t="s" s="1001">
        <v>452</v>
      </c>
      <c r="D4" t="s" s="1002">
        <v>453</v>
      </c>
      <c r="E4" t="s" s="1002">
        <v>454</v>
      </c>
      <c r="F4" t="s" s="1003">
        <v>455</v>
      </c>
      <c r="G4" t="s" s="1004">
        <v>456</v>
      </c>
      <c r="H4" t="s" s="1005">
        <v>457</v>
      </c>
      <c r="I4" t="s" s="1005">
        <v>458</v>
      </c>
      <c r="J4" t="s" s="1005">
        <v>459</v>
      </c>
      <c r="K4" t="s" s="1005">
        <v>460</v>
      </c>
      <c r="L4" t="s" s="1005">
        <v>461</v>
      </c>
      <c r="M4" t="s" s="1006">
        <v>462</v>
      </c>
      <c r="N4" s="1007"/>
    </row>
    <row r="5" ht="65.45" customHeight="1">
      <c r="A5" s="27"/>
      <c r="B5" s="1008"/>
      <c r="C5" s="1009"/>
      <c r="D5" s="1010"/>
      <c r="E5" s="1010"/>
      <c r="F5" s="1011"/>
      <c r="G5" t="s" s="1012">
        <v>182</v>
      </c>
      <c r="H5" t="s" s="1013">
        <v>463</v>
      </c>
      <c r="I5" t="s" s="1013">
        <v>464</v>
      </c>
      <c r="J5" t="s" s="1013">
        <v>180</v>
      </c>
      <c r="K5" t="s" s="1005">
        <v>176</v>
      </c>
      <c r="L5" s="1014"/>
      <c r="M5" s="1015"/>
      <c r="N5" s="1016"/>
    </row>
    <row r="6" ht="30" customHeight="1">
      <c r="A6" s="27"/>
      <c r="B6" t="s" s="1017">
        <v>377</v>
      </c>
      <c r="C6" t="s" s="387">
        <v>180</v>
      </c>
      <c r="D6" t="s" s="274">
        <v>180</v>
      </c>
      <c r="E6" t="s" s="388">
        <v>465</v>
      </c>
      <c r="F6" t="s" s="1017">
        <v>180</v>
      </c>
      <c r="G6" t="s" s="273">
        <v>466</v>
      </c>
      <c r="H6" t="s" s="966">
        <v>466</v>
      </c>
      <c r="I6" t="s" s="966">
        <v>466</v>
      </c>
      <c r="J6" s="965">
        <v>1</v>
      </c>
      <c r="K6" t="s" s="956">
        <v>466</v>
      </c>
      <c r="L6" t="s" s="966">
        <v>466</v>
      </c>
      <c r="M6" s="1018">
        <v>1</v>
      </c>
      <c r="N6" t="s" s="392">
        <v>465</v>
      </c>
    </row>
    <row r="7" ht="30" customHeight="1">
      <c r="A7" s="27"/>
      <c r="B7" t="s" s="1019">
        <v>379</v>
      </c>
      <c r="C7" t="s" s="403">
        <v>180</v>
      </c>
      <c r="D7" t="s" s="960">
        <v>180</v>
      </c>
      <c r="E7" t="s" s="404">
        <v>465</v>
      </c>
      <c r="F7" t="s" s="1019">
        <v>180</v>
      </c>
      <c r="G7" t="s" s="297">
        <v>466</v>
      </c>
      <c r="H7" t="s" s="956">
        <v>466</v>
      </c>
      <c r="I7" t="s" s="956">
        <v>466</v>
      </c>
      <c r="J7" s="955">
        <v>1</v>
      </c>
      <c r="K7" t="s" s="956">
        <v>466</v>
      </c>
      <c r="L7" t="s" s="956">
        <v>466</v>
      </c>
      <c r="M7" s="1020">
        <v>1</v>
      </c>
      <c r="N7" t="s" s="408">
        <v>465</v>
      </c>
    </row>
    <row r="8" ht="30" customHeight="1">
      <c r="A8" s="27"/>
      <c r="B8" t="s" s="1019">
        <v>380</v>
      </c>
      <c r="C8" t="s" s="403">
        <v>180</v>
      </c>
      <c r="D8" t="s" s="960">
        <v>180</v>
      </c>
      <c r="E8" t="s" s="404">
        <v>465</v>
      </c>
      <c r="F8" t="s" s="1019">
        <v>180</v>
      </c>
      <c r="G8" t="s" s="297">
        <v>466</v>
      </c>
      <c r="H8" t="s" s="956">
        <v>466</v>
      </c>
      <c r="I8" t="s" s="956">
        <v>466</v>
      </c>
      <c r="J8" s="955">
        <v>1</v>
      </c>
      <c r="K8" t="s" s="956">
        <v>466</v>
      </c>
      <c r="L8" t="s" s="956">
        <v>466</v>
      </c>
      <c r="M8" s="1020">
        <v>1</v>
      </c>
      <c r="N8" t="s" s="408">
        <v>465</v>
      </c>
    </row>
    <row r="9" ht="30" customHeight="1">
      <c r="A9" s="27"/>
      <c r="B9" t="s" s="1019">
        <v>381</v>
      </c>
      <c r="C9" t="s" s="403">
        <v>180</v>
      </c>
      <c r="D9" t="s" s="960">
        <v>180</v>
      </c>
      <c r="E9" t="s" s="404">
        <v>465</v>
      </c>
      <c r="F9" t="s" s="1019">
        <v>180</v>
      </c>
      <c r="G9" t="s" s="297">
        <v>466</v>
      </c>
      <c r="H9" t="s" s="956">
        <v>466</v>
      </c>
      <c r="I9" t="s" s="956">
        <v>466</v>
      </c>
      <c r="J9" s="955">
        <v>1</v>
      </c>
      <c r="K9" t="s" s="956">
        <v>466</v>
      </c>
      <c r="L9" t="s" s="956">
        <v>466</v>
      </c>
      <c r="M9" s="1020">
        <v>1</v>
      </c>
      <c r="N9" t="s" s="408">
        <v>465</v>
      </c>
    </row>
    <row r="10" ht="29.1" customHeight="1">
      <c r="A10" s="27"/>
      <c r="B10" t="s" s="1019">
        <v>382</v>
      </c>
      <c r="C10" t="s" s="403">
        <v>180</v>
      </c>
      <c r="D10" t="s" s="960">
        <v>180</v>
      </c>
      <c r="E10" t="s" s="404">
        <v>467</v>
      </c>
      <c r="F10" t="s" s="1019">
        <v>466</v>
      </c>
      <c r="G10" t="s" s="297">
        <v>466</v>
      </c>
      <c r="H10" t="s" s="956">
        <v>466</v>
      </c>
      <c r="I10" t="s" s="956">
        <v>466</v>
      </c>
      <c r="J10" s="955">
        <v>1</v>
      </c>
      <c r="K10" t="s" s="956">
        <v>466</v>
      </c>
      <c r="L10" t="s" s="956">
        <v>466</v>
      </c>
      <c r="M10" t="s" s="1021">
        <v>466</v>
      </c>
      <c r="N10" t="s" s="408">
        <v>468</v>
      </c>
    </row>
    <row r="11" ht="30" customHeight="1">
      <c r="A11" s="27"/>
      <c r="B11" t="s" s="1019">
        <v>384</v>
      </c>
      <c r="C11" t="s" s="403">
        <v>180</v>
      </c>
      <c r="D11" t="s" s="960">
        <v>180</v>
      </c>
      <c r="E11" t="s" s="404">
        <v>465</v>
      </c>
      <c r="F11" t="s" s="1019">
        <v>180</v>
      </c>
      <c r="G11" t="s" s="297">
        <v>466</v>
      </c>
      <c r="H11" t="s" s="956">
        <v>466</v>
      </c>
      <c r="I11" t="s" s="956">
        <v>466</v>
      </c>
      <c r="J11" s="955">
        <v>1</v>
      </c>
      <c r="K11" t="s" s="956">
        <v>466</v>
      </c>
      <c r="L11" t="s" s="956">
        <v>466</v>
      </c>
      <c r="M11" t="s" s="1021">
        <v>466</v>
      </c>
      <c r="N11" t="s" s="408">
        <v>465</v>
      </c>
    </row>
    <row r="12" ht="29.1" customHeight="1">
      <c r="A12" s="27"/>
      <c r="B12" t="s" s="1019">
        <v>385</v>
      </c>
      <c r="C12" t="s" s="403">
        <v>180</v>
      </c>
      <c r="D12" t="s" s="960">
        <v>180</v>
      </c>
      <c r="E12" t="s" s="404">
        <v>467</v>
      </c>
      <c r="F12" t="s" s="1019">
        <v>466</v>
      </c>
      <c r="G12" t="s" s="297">
        <v>466</v>
      </c>
      <c r="H12" t="s" s="956">
        <v>466</v>
      </c>
      <c r="I12" t="s" s="956">
        <v>466</v>
      </c>
      <c r="J12" s="955">
        <v>1</v>
      </c>
      <c r="K12" t="s" s="956">
        <v>466</v>
      </c>
      <c r="L12" t="s" s="956">
        <v>466</v>
      </c>
      <c r="M12" t="s" s="1021">
        <v>466</v>
      </c>
      <c r="N12" t="s" s="408">
        <v>468</v>
      </c>
    </row>
    <row r="13" ht="29.1" customHeight="1">
      <c r="A13" s="27"/>
      <c r="B13" t="s" s="1019">
        <v>386</v>
      </c>
      <c r="C13" t="s" s="403">
        <v>180</v>
      </c>
      <c r="D13" t="s" s="960">
        <v>180</v>
      </c>
      <c r="E13" t="s" s="404">
        <v>467</v>
      </c>
      <c r="F13" t="s" s="1019">
        <v>466</v>
      </c>
      <c r="G13" t="s" s="297">
        <v>466</v>
      </c>
      <c r="H13" t="s" s="956">
        <v>466</v>
      </c>
      <c r="I13" t="s" s="956">
        <v>466</v>
      </c>
      <c r="J13" s="955">
        <v>1</v>
      </c>
      <c r="K13" t="s" s="956">
        <v>466</v>
      </c>
      <c r="L13" t="s" s="956">
        <v>466</v>
      </c>
      <c r="M13" t="s" s="1021">
        <v>466</v>
      </c>
      <c r="N13" t="s" s="408">
        <v>468</v>
      </c>
    </row>
    <row r="14" ht="29.1" customHeight="1">
      <c r="A14" s="27"/>
      <c r="B14" t="s" s="1019">
        <v>387</v>
      </c>
      <c r="C14" t="s" s="403">
        <v>180</v>
      </c>
      <c r="D14" t="s" s="960">
        <v>180</v>
      </c>
      <c r="E14" t="s" s="404">
        <v>467</v>
      </c>
      <c r="F14" t="s" s="1019">
        <v>466</v>
      </c>
      <c r="G14" t="s" s="297">
        <v>466</v>
      </c>
      <c r="H14" t="s" s="956">
        <v>466</v>
      </c>
      <c r="I14" t="s" s="956">
        <v>466</v>
      </c>
      <c r="J14" s="955">
        <v>1</v>
      </c>
      <c r="K14" t="s" s="956">
        <v>466</v>
      </c>
      <c r="L14" t="s" s="956">
        <v>466</v>
      </c>
      <c r="M14" t="s" s="1021">
        <v>466</v>
      </c>
      <c r="N14" t="s" s="408">
        <v>468</v>
      </c>
    </row>
    <row r="15" ht="30" customHeight="1">
      <c r="A15" s="27"/>
      <c r="B15" t="s" s="1019">
        <v>388</v>
      </c>
      <c r="C15" t="s" s="403">
        <v>180</v>
      </c>
      <c r="D15" t="s" s="960">
        <v>180</v>
      </c>
      <c r="E15" t="s" s="404">
        <v>469</v>
      </c>
      <c r="F15" t="s" s="1019">
        <v>466</v>
      </c>
      <c r="G15" t="s" s="297">
        <v>466</v>
      </c>
      <c r="H15" t="s" s="956">
        <v>466</v>
      </c>
      <c r="I15" t="s" s="956">
        <v>466</v>
      </c>
      <c r="J15" s="955">
        <v>1</v>
      </c>
      <c r="K15" t="s" s="956">
        <v>466</v>
      </c>
      <c r="L15" t="s" s="956">
        <v>466</v>
      </c>
      <c r="M15" t="s" s="1021">
        <v>466</v>
      </c>
      <c r="N15" t="s" s="408">
        <v>470</v>
      </c>
    </row>
    <row r="16" ht="30" customHeight="1">
      <c r="A16" s="27"/>
      <c r="B16" t="s" s="1019">
        <v>389</v>
      </c>
      <c r="C16" t="s" s="403">
        <v>180</v>
      </c>
      <c r="D16" t="s" s="960">
        <v>180</v>
      </c>
      <c r="E16" t="s" s="404">
        <v>469</v>
      </c>
      <c r="F16" t="s" s="1019">
        <v>466</v>
      </c>
      <c r="G16" t="s" s="297">
        <v>466</v>
      </c>
      <c r="H16" t="s" s="956">
        <v>466</v>
      </c>
      <c r="I16" t="s" s="956">
        <v>466</v>
      </c>
      <c r="J16" s="955">
        <v>1</v>
      </c>
      <c r="K16" t="s" s="956">
        <v>466</v>
      </c>
      <c r="L16" t="s" s="956">
        <v>466</v>
      </c>
      <c r="M16" t="s" s="1021">
        <v>466</v>
      </c>
      <c r="N16" t="s" s="408">
        <v>470</v>
      </c>
    </row>
    <row r="17" ht="13.55" customHeight="1">
      <c r="A17" s="27"/>
      <c r="B17" t="s" s="1019">
        <v>390</v>
      </c>
      <c r="C17" t="s" s="297">
        <v>182</v>
      </c>
      <c r="D17" t="s" s="956">
        <v>471</v>
      </c>
      <c r="E17" t="s" s="1021">
        <v>472</v>
      </c>
      <c r="F17" t="s" s="1019">
        <v>463</v>
      </c>
      <c r="G17" s="1022">
        <v>4</v>
      </c>
      <c r="H17" s="955">
        <v>7</v>
      </c>
      <c r="I17" t="s" s="956">
        <v>466</v>
      </c>
      <c r="J17" t="s" s="956">
        <v>466</v>
      </c>
      <c r="K17" t="s" s="956">
        <v>466</v>
      </c>
      <c r="L17" s="955">
        <v>10</v>
      </c>
      <c r="M17" s="1020">
        <v>15</v>
      </c>
      <c r="N17" t="s" s="408">
        <v>473</v>
      </c>
    </row>
    <row r="18" ht="13.55" customHeight="1">
      <c r="A18" s="27"/>
      <c r="B18" t="s" s="1019">
        <v>391</v>
      </c>
      <c r="C18" t="s" s="297">
        <v>182</v>
      </c>
      <c r="D18" t="s" s="956">
        <v>471</v>
      </c>
      <c r="E18" t="s" s="1021">
        <v>391</v>
      </c>
      <c r="F18" t="s" s="1019">
        <v>463</v>
      </c>
      <c r="G18" s="1022">
        <v>10</v>
      </c>
      <c r="H18" s="955">
        <v>15</v>
      </c>
      <c r="I18" t="s" s="956">
        <v>466</v>
      </c>
      <c r="J18" t="s" s="956">
        <v>466</v>
      </c>
      <c r="K18" t="s" s="956">
        <v>466</v>
      </c>
      <c r="L18" s="955">
        <v>10</v>
      </c>
      <c r="M18" s="1020">
        <v>15</v>
      </c>
      <c r="N18" t="s" s="408">
        <v>474</v>
      </c>
    </row>
    <row r="19" ht="13.55" customHeight="1">
      <c r="A19" s="27"/>
      <c r="B19" t="s" s="1019">
        <v>392</v>
      </c>
      <c r="C19" t="s" s="297">
        <v>182</v>
      </c>
      <c r="D19" t="s" s="956">
        <v>471</v>
      </c>
      <c r="E19" t="s" s="1021">
        <v>392</v>
      </c>
      <c r="F19" t="s" s="1019">
        <v>463</v>
      </c>
      <c r="G19" s="1022">
        <v>5</v>
      </c>
      <c r="H19" s="955">
        <v>10</v>
      </c>
      <c r="I19" t="s" s="956">
        <v>466</v>
      </c>
      <c r="J19" t="s" s="956">
        <v>466</v>
      </c>
      <c r="K19" t="s" s="956">
        <v>466</v>
      </c>
      <c r="L19" s="955">
        <v>10</v>
      </c>
      <c r="M19" s="1020">
        <v>15</v>
      </c>
      <c r="N19" t="s" s="408">
        <v>474</v>
      </c>
    </row>
    <row r="20" ht="13.55" customHeight="1">
      <c r="A20" s="27"/>
      <c r="B20" t="s" s="1019">
        <v>393</v>
      </c>
      <c r="C20" t="s" s="297">
        <v>182</v>
      </c>
      <c r="D20" t="s" s="956">
        <v>471</v>
      </c>
      <c r="E20" t="s" s="1021">
        <v>393</v>
      </c>
      <c r="F20" t="s" s="1019">
        <v>463</v>
      </c>
      <c r="G20" s="1022">
        <v>10</v>
      </c>
      <c r="H20" s="955">
        <v>15</v>
      </c>
      <c r="I20" t="s" s="956">
        <v>466</v>
      </c>
      <c r="J20" t="s" s="956">
        <v>466</v>
      </c>
      <c r="K20" t="s" s="956">
        <v>466</v>
      </c>
      <c r="L20" s="955">
        <v>10</v>
      </c>
      <c r="M20" s="1020">
        <v>15</v>
      </c>
      <c r="N20" t="s" s="408">
        <v>474</v>
      </c>
    </row>
    <row r="21" ht="13.55" customHeight="1">
      <c r="A21" s="27"/>
      <c r="B21" t="s" s="1019">
        <v>394</v>
      </c>
      <c r="C21" t="s" s="297">
        <v>182</v>
      </c>
      <c r="D21" t="s" s="956">
        <v>471</v>
      </c>
      <c r="E21" t="s" s="1021">
        <v>394</v>
      </c>
      <c r="F21" t="s" s="1019">
        <v>463</v>
      </c>
      <c r="G21" s="1022">
        <v>5</v>
      </c>
      <c r="H21" s="955">
        <v>10</v>
      </c>
      <c r="I21" t="s" s="956">
        <v>466</v>
      </c>
      <c r="J21" t="s" s="956">
        <v>466</v>
      </c>
      <c r="K21" t="s" s="956">
        <v>466</v>
      </c>
      <c r="L21" s="955">
        <v>3</v>
      </c>
      <c r="M21" s="1020">
        <v>10</v>
      </c>
      <c r="N21" t="s" s="408">
        <v>474</v>
      </c>
    </row>
    <row r="22" ht="29.1" customHeight="1">
      <c r="A22" s="27"/>
      <c r="B22" t="s" s="1019">
        <v>395</v>
      </c>
      <c r="C22" t="s" s="403">
        <v>180</v>
      </c>
      <c r="D22" t="s" s="960">
        <v>180</v>
      </c>
      <c r="E22" t="s" s="1021">
        <v>475</v>
      </c>
      <c r="F22" t="s" s="1019">
        <v>466</v>
      </c>
      <c r="G22" t="s" s="297">
        <v>466</v>
      </c>
      <c r="H22" t="s" s="956">
        <v>466</v>
      </c>
      <c r="I22" t="s" s="956">
        <v>466</v>
      </c>
      <c r="J22" s="955">
        <v>1</v>
      </c>
      <c r="K22" t="s" s="956">
        <v>466</v>
      </c>
      <c r="L22" t="s" s="956">
        <v>466</v>
      </c>
      <c r="M22" t="s" s="1021">
        <v>466</v>
      </c>
      <c r="N22" t="s" s="408">
        <v>476</v>
      </c>
    </row>
    <row r="23" ht="13.55" customHeight="1">
      <c r="A23" s="27"/>
      <c r="B23" t="s" s="1019">
        <v>396</v>
      </c>
      <c r="C23" t="s" s="297">
        <v>182</v>
      </c>
      <c r="D23" t="s" s="956">
        <v>471</v>
      </c>
      <c r="E23" t="s" s="1021">
        <v>396</v>
      </c>
      <c r="F23" t="s" s="1019">
        <v>463</v>
      </c>
      <c r="G23" s="1022">
        <v>5</v>
      </c>
      <c r="H23" s="955">
        <v>10</v>
      </c>
      <c r="I23" t="s" s="956">
        <v>466</v>
      </c>
      <c r="J23" t="s" s="956">
        <v>466</v>
      </c>
      <c r="K23" t="s" s="956">
        <v>466</v>
      </c>
      <c r="L23" s="955">
        <v>3</v>
      </c>
      <c r="M23" s="1020">
        <v>10</v>
      </c>
      <c r="N23" t="s" s="408">
        <v>474</v>
      </c>
    </row>
    <row r="24" ht="13.55" customHeight="1">
      <c r="A24" s="27"/>
      <c r="B24" t="s" s="1019">
        <v>397</v>
      </c>
      <c r="C24" t="s" s="297">
        <v>182</v>
      </c>
      <c r="D24" t="s" s="956">
        <v>471</v>
      </c>
      <c r="E24" t="s" s="1021">
        <v>397</v>
      </c>
      <c r="F24" t="s" s="1019">
        <v>463</v>
      </c>
      <c r="G24" s="1022">
        <v>5</v>
      </c>
      <c r="H24" s="955">
        <v>10</v>
      </c>
      <c r="I24" t="s" s="956">
        <v>466</v>
      </c>
      <c r="J24" t="s" s="956">
        <v>466</v>
      </c>
      <c r="K24" t="s" s="956">
        <v>466</v>
      </c>
      <c r="L24" s="955">
        <v>3</v>
      </c>
      <c r="M24" s="1020">
        <v>10</v>
      </c>
      <c r="N24" t="s" s="408">
        <v>474</v>
      </c>
    </row>
    <row r="25" ht="13.55" customHeight="1">
      <c r="A25" s="27"/>
      <c r="B25" t="s" s="1019">
        <v>398</v>
      </c>
      <c r="C25" t="s" s="297">
        <v>182</v>
      </c>
      <c r="D25" t="s" s="956">
        <v>471</v>
      </c>
      <c r="E25" t="s" s="1021">
        <v>398</v>
      </c>
      <c r="F25" t="s" s="1019">
        <v>463</v>
      </c>
      <c r="G25" s="1022">
        <v>10</v>
      </c>
      <c r="H25" s="955">
        <v>15</v>
      </c>
      <c r="I25" t="s" s="956">
        <v>466</v>
      </c>
      <c r="J25" t="s" s="956">
        <v>466</v>
      </c>
      <c r="K25" t="s" s="956">
        <v>466</v>
      </c>
      <c r="L25" s="955">
        <v>7</v>
      </c>
      <c r="M25" s="1020">
        <v>15</v>
      </c>
      <c r="N25" t="s" s="408">
        <v>474</v>
      </c>
    </row>
    <row r="26" ht="13.55" customHeight="1">
      <c r="A26" s="27"/>
      <c r="B26" t="s" s="1019">
        <v>399</v>
      </c>
      <c r="C26" t="s" s="297">
        <v>182</v>
      </c>
      <c r="D26" t="s" s="956">
        <v>471</v>
      </c>
      <c r="E26" t="s" s="1021">
        <v>399</v>
      </c>
      <c r="F26" t="s" s="1019">
        <v>463</v>
      </c>
      <c r="G26" s="1022">
        <v>5</v>
      </c>
      <c r="H26" s="955">
        <v>10</v>
      </c>
      <c r="I26" t="s" s="956">
        <v>466</v>
      </c>
      <c r="J26" t="s" s="956">
        <v>466</v>
      </c>
      <c r="K26" t="s" s="956">
        <v>466</v>
      </c>
      <c r="L26" s="955">
        <v>3</v>
      </c>
      <c r="M26" s="1020">
        <v>10</v>
      </c>
      <c r="N26" t="s" s="408">
        <v>474</v>
      </c>
    </row>
    <row r="27" ht="29.1" customHeight="1">
      <c r="A27" s="27"/>
      <c r="B27" t="s" s="1019">
        <v>400</v>
      </c>
      <c r="C27" t="s" s="403">
        <v>180</v>
      </c>
      <c r="D27" t="s" s="960">
        <v>180</v>
      </c>
      <c r="E27" t="s" s="1021">
        <v>475</v>
      </c>
      <c r="F27" t="s" s="1019">
        <v>466</v>
      </c>
      <c r="G27" t="s" s="297">
        <v>466</v>
      </c>
      <c r="H27" t="s" s="956">
        <v>466</v>
      </c>
      <c r="I27" t="s" s="956">
        <v>466</v>
      </c>
      <c r="J27" s="955">
        <v>1</v>
      </c>
      <c r="K27" t="s" s="956">
        <v>466</v>
      </c>
      <c r="L27" t="s" s="956">
        <v>466</v>
      </c>
      <c r="M27" t="s" s="1021">
        <v>466</v>
      </c>
      <c r="N27" t="s" s="408">
        <v>476</v>
      </c>
    </row>
    <row r="28" ht="29.1" customHeight="1">
      <c r="A28" s="27"/>
      <c r="B28" t="s" s="1019">
        <v>401</v>
      </c>
      <c r="C28" t="s" s="403">
        <v>180</v>
      </c>
      <c r="D28" t="s" s="960">
        <v>180</v>
      </c>
      <c r="E28" t="s" s="1021">
        <v>475</v>
      </c>
      <c r="F28" t="s" s="1019">
        <v>466</v>
      </c>
      <c r="G28" t="s" s="297">
        <v>466</v>
      </c>
      <c r="H28" t="s" s="956">
        <v>466</v>
      </c>
      <c r="I28" t="s" s="956">
        <v>466</v>
      </c>
      <c r="J28" s="955">
        <v>1</v>
      </c>
      <c r="K28" t="s" s="956">
        <v>466</v>
      </c>
      <c r="L28" t="s" s="956">
        <v>466</v>
      </c>
      <c r="M28" t="s" s="1021">
        <v>466</v>
      </c>
      <c r="N28" t="s" s="408">
        <v>476</v>
      </c>
    </row>
    <row r="29" ht="13.55" customHeight="1">
      <c r="A29" s="27"/>
      <c r="B29" t="s" s="1019">
        <v>402</v>
      </c>
      <c r="C29" t="s" s="297">
        <v>182</v>
      </c>
      <c r="D29" t="s" s="956">
        <v>471</v>
      </c>
      <c r="E29" t="s" s="1021">
        <v>402</v>
      </c>
      <c r="F29" t="s" s="1019">
        <v>463</v>
      </c>
      <c r="G29" s="1022">
        <v>10</v>
      </c>
      <c r="H29" s="955">
        <v>15</v>
      </c>
      <c r="I29" t="s" s="956">
        <v>466</v>
      </c>
      <c r="J29" t="s" s="956">
        <v>466</v>
      </c>
      <c r="K29" t="s" s="956">
        <v>466</v>
      </c>
      <c r="L29" s="955">
        <v>7</v>
      </c>
      <c r="M29" s="1020">
        <v>15</v>
      </c>
      <c r="N29" t="s" s="408">
        <v>474</v>
      </c>
    </row>
    <row r="30" ht="13.55" customHeight="1">
      <c r="A30" s="27"/>
      <c r="B30" t="s" s="1019">
        <v>403</v>
      </c>
      <c r="C30" t="s" s="297">
        <v>182</v>
      </c>
      <c r="D30" t="s" s="956">
        <v>471</v>
      </c>
      <c r="E30" t="s" s="1021">
        <v>477</v>
      </c>
      <c r="F30" t="s" s="1019">
        <v>463</v>
      </c>
      <c r="G30" s="1022">
        <v>3</v>
      </c>
      <c r="H30" s="955">
        <v>5</v>
      </c>
      <c r="I30" t="s" s="956">
        <v>466</v>
      </c>
      <c r="J30" t="s" s="956">
        <v>466</v>
      </c>
      <c r="K30" t="s" s="956">
        <v>466</v>
      </c>
      <c r="L30" s="955">
        <v>4</v>
      </c>
      <c r="M30" s="1020">
        <v>5</v>
      </c>
      <c r="N30" t="s" s="408">
        <v>478</v>
      </c>
    </row>
    <row r="31" ht="13.55" customHeight="1">
      <c r="A31" s="27"/>
      <c r="B31" t="s" s="1019">
        <v>405</v>
      </c>
      <c r="C31" t="s" s="297">
        <v>182</v>
      </c>
      <c r="D31" t="s" s="956">
        <v>471</v>
      </c>
      <c r="E31" t="s" s="1021">
        <v>405</v>
      </c>
      <c r="F31" t="s" s="1019">
        <v>463</v>
      </c>
      <c r="G31" s="1022">
        <v>3</v>
      </c>
      <c r="H31" s="955">
        <v>5</v>
      </c>
      <c r="I31" t="s" s="956">
        <v>466</v>
      </c>
      <c r="J31" t="s" s="956">
        <v>466</v>
      </c>
      <c r="K31" t="s" s="956">
        <v>466</v>
      </c>
      <c r="L31" s="955">
        <v>4</v>
      </c>
      <c r="M31" s="1020">
        <v>5</v>
      </c>
      <c r="N31" t="s" s="408">
        <v>474</v>
      </c>
    </row>
    <row r="32" ht="13.55" customHeight="1">
      <c r="A32" s="27"/>
      <c r="B32" t="s" s="1019">
        <v>406</v>
      </c>
      <c r="C32" t="s" s="297">
        <v>182</v>
      </c>
      <c r="D32" t="s" s="956">
        <v>471</v>
      </c>
      <c r="E32" t="s" s="1021">
        <v>406</v>
      </c>
      <c r="F32" t="s" s="1019">
        <v>463</v>
      </c>
      <c r="G32" s="1022">
        <v>5</v>
      </c>
      <c r="H32" s="955">
        <v>10</v>
      </c>
      <c r="I32" t="s" s="956">
        <v>466</v>
      </c>
      <c r="J32" t="s" s="956">
        <v>466</v>
      </c>
      <c r="K32" t="s" s="956">
        <v>466</v>
      </c>
      <c r="L32" s="955">
        <v>20</v>
      </c>
      <c r="M32" s="1020">
        <v>10</v>
      </c>
      <c r="N32" t="s" s="408">
        <v>474</v>
      </c>
    </row>
    <row r="33" ht="13.55" customHeight="1">
      <c r="A33" s="27"/>
      <c r="B33" t="s" s="1019">
        <v>407</v>
      </c>
      <c r="C33" t="s" s="297">
        <v>182</v>
      </c>
      <c r="D33" t="s" s="956">
        <v>471</v>
      </c>
      <c r="E33" t="s" s="1021">
        <v>407</v>
      </c>
      <c r="F33" t="s" s="1019">
        <v>463</v>
      </c>
      <c r="G33" s="1022">
        <v>3</v>
      </c>
      <c r="H33" s="955">
        <v>5</v>
      </c>
      <c r="I33" t="s" s="956">
        <v>466</v>
      </c>
      <c r="J33" t="s" s="956">
        <v>466</v>
      </c>
      <c r="K33" t="s" s="956">
        <v>466</v>
      </c>
      <c r="L33" s="955">
        <v>2</v>
      </c>
      <c r="M33" t="s" s="1021">
        <v>466</v>
      </c>
      <c r="N33" t="s" s="408">
        <v>474</v>
      </c>
    </row>
    <row r="34" ht="13.55" customHeight="1">
      <c r="A34" s="27"/>
      <c r="B34" t="s" s="1019">
        <v>408</v>
      </c>
      <c r="C34" t="s" s="297">
        <v>182</v>
      </c>
      <c r="D34" t="s" s="956">
        <v>471</v>
      </c>
      <c r="E34" t="s" s="1021">
        <v>408</v>
      </c>
      <c r="F34" t="s" s="1019">
        <v>463</v>
      </c>
      <c r="G34" s="1022">
        <v>10</v>
      </c>
      <c r="H34" s="955">
        <v>20</v>
      </c>
      <c r="I34" t="s" s="956">
        <v>466</v>
      </c>
      <c r="J34" t="s" s="956">
        <v>466</v>
      </c>
      <c r="K34" t="s" s="956">
        <v>466</v>
      </c>
      <c r="L34" s="955">
        <v>10</v>
      </c>
      <c r="M34" s="1020">
        <v>20</v>
      </c>
      <c r="N34" t="s" s="408">
        <v>474</v>
      </c>
    </row>
    <row r="35" ht="13.55" customHeight="1">
      <c r="A35" s="27"/>
      <c r="B35" t="s" s="1019">
        <v>409</v>
      </c>
      <c r="C35" t="s" s="297">
        <v>182</v>
      </c>
      <c r="D35" t="s" s="1021">
        <v>471</v>
      </c>
      <c r="E35" t="s" s="1019">
        <v>409</v>
      </c>
      <c r="F35" t="s" s="1019">
        <v>463</v>
      </c>
      <c r="G35" s="1022">
        <v>3</v>
      </c>
      <c r="H35" s="955">
        <v>5</v>
      </c>
      <c r="I35" t="s" s="956">
        <v>466</v>
      </c>
      <c r="J35" t="s" s="956">
        <v>466</v>
      </c>
      <c r="K35" t="s" s="956">
        <v>466</v>
      </c>
      <c r="L35" s="955">
        <v>2</v>
      </c>
      <c r="M35" t="s" s="1021">
        <v>466</v>
      </c>
      <c r="N35" t="s" s="408">
        <v>474</v>
      </c>
    </row>
    <row r="36" ht="13.55" customHeight="1">
      <c r="A36" s="27"/>
      <c r="B36" t="s" s="1019">
        <v>410</v>
      </c>
      <c r="C36" t="s" s="297">
        <v>182</v>
      </c>
      <c r="D36" t="s" s="956">
        <v>471</v>
      </c>
      <c r="E36" t="s" s="1021">
        <v>410</v>
      </c>
      <c r="F36" t="s" s="1019">
        <v>463</v>
      </c>
      <c r="G36" s="1022">
        <v>1</v>
      </c>
      <c r="H36" s="955">
        <v>1</v>
      </c>
      <c r="I36" t="s" s="956">
        <v>466</v>
      </c>
      <c r="J36" t="s" s="956">
        <v>466</v>
      </c>
      <c r="K36" t="s" s="956">
        <v>466</v>
      </c>
      <c r="L36" s="955">
        <v>1</v>
      </c>
      <c r="M36" s="1020">
        <v>1</v>
      </c>
      <c r="N36" t="s" s="408">
        <v>474</v>
      </c>
    </row>
    <row r="37" ht="13.55" customHeight="1">
      <c r="A37" s="27"/>
      <c r="B37" t="s" s="1019">
        <v>411</v>
      </c>
      <c r="C37" t="s" s="297">
        <v>176</v>
      </c>
      <c r="D37" t="s" s="956">
        <v>176</v>
      </c>
      <c r="E37" t="s" s="404">
        <v>465</v>
      </c>
      <c r="F37" t="s" s="1019">
        <v>466</v>
      </c>
      <c r="G37" t="s" s="297">
        <v>466</v>
      </c>
      <c r="H37" t="s" s="956">
        <v>466</v>
      </c>
      <c r="I37" t="s" s="956">
        <v>466</v>
      </c>
      <c r="J37" t="s" s="956">
        <v>466</v>
      </c>
      <c r="K37" s="955">
        <v>0</v>
      </c>
      <c r="L37" t="s" s="956">
        <v>466</v>
      </c>
      <c r="M37" t="s" s="1021">
        <v>466</v>
      </c>
      <c r="N37" t="s" s="408">
        <v>465</v>
      </c>
    </row>
    <row r="38" ht="13.55" customHeight="1">
      <c r="A38" s="27"/>
      <c r="B38" t="s" s="1019">
        <v>413</v>
      </c>
      <c r="C38" t="s" s="297">
        <v>182</v>
      </c>
      <c r="D38" t="s" s="956">
        <v>471</v>
      </c>
      <c r="E38" t="s" s="1021">
        <v>413</v>
      </c>
      <c r="F38" t="s" s="1019">
        <v>463</v>
      </c>
      <c r="G38" s="1022">
        <v>1</v>
      </c>
      <c r="H38" s="955">
        <v>3</v>
      </c>
      <c r="I38" t="s" s="956">
        <v>466</v>
      </c>
      <c r="J38" t="s" s="956">
        <v>466</v>
      </c>
      <c r="K38" t="s" s="956">
        <v>466</v>
      </c>
      <c r="L38" s="955">
        <v>2</v>
      </c>
      <c r="M38" s="1020">
        <v>3</v>
      </c>
      <c r="N38" t="s" s="408">
        <v>474</v>
      </c>
    </row>
    <row r="39" ht="13.55" customHeight="1">
      <c r="A39" s="27"/>
      <c r="B39" t="s" s="1019">
        <v>414</v>
      </c>
      <c r="C39" t="s" s="297">
        <v>182</v>
      </c>
      <c r="D39" t="s" s="956">
        <v>471</v>
      </c>
      <c r="E39" t="s" s="1021">
        <v>414</v>
      </c>
      <c r="F39" t="s" s="1019">
        <v>463</v>
      </c>
      <c r="G39" s="1022">
        <v>5</v>
      </c>
      <c r="H39" s="955">
        <v>10</v>
      </c>
      <c r="I39" t="s" s="956">
        <v>466</v>
      </c>
      <c r="J39" t="s" s="956">
        <v>466</v>
      </c>
      <c r="K39" t="s" s="956">
        <v>466</v>
      </c>
      <c r="L39" s="955">
        <v>5</v>
      </c>
      <c r="M39" s="1020">
        <v>10</v>
      </c>
      <c r="N39" t="s" s="408">
        <v>474</v>
      </c>
    </row>
    <row r="40" ht="13.55" customHeight="1">
      <c r="A40" s="27"/>
      <c r="B40" t="s" s="1019">
        <v>415</v>
      </c>
      <c r="C40" t="s" s="297">
        <v>176</v>
      </c>
      <c r="D40" t="s" s="956">
        <v>176</v>
      </c>
      <c r="E40" t="s" s="404">
        <v>465</v>
      </c>
      <c r="F40" t="s" s="1019">
        <v>466</v>
      </c>
      <c r="G40" t="s" s="297">
        <v>466</v>
      </c>
      <c r="H40" t="s" s="956">
        <v>466</v>
      </c>
      <c r="I40" t="s" s="956">
        <v>466</v>
      </c>
      <c r="J40" t="s" s="956">
        <v>466</v>
      </c>
      <c r="K40" s="955">
        <v>0</v>
      </c>
      <c r="L40" t="s" s="956">
        <v>466</v>
      </c>
      <c r="M40" t="s" s="1021">
        <v>466</v>
      </c>
      <c r="N40" t="s" s="408">
        <v>465</v>
      </c>
    </row>
    <row r="41" ht="13.55" customHeight="1">
      <c r="A41" s="27"/>
      <c r="B41" t="s" s="1019">
        <v>416</v>
      </c>
      <c r="C41" t="s" s="297">
        <v>182</v>
      </c>
      <c r="D41" t="s" s="956">
        <v>471</v>
      </c>
      <c r="E41" t="s" s="1021">
        <v>416</v>
      </c>
      <c r="F41" t="s" s="1019">
        <v>463</v>
      </c>
      <c r="G41" s="1022">
        <v>15</v>
      </c>
      <c r="H41" s="955">
        <v>20</v>
      </c>
      <c r="I41" t="s" s="956">
        <v>466</v>
      </c>
      <c r="J41" t="s" s="956">
        <v>466</v>
      </c>
      <c r="K41" t="s" s="956">
        <v>466</v>
      </c>
      <c r="L41" s="955">
        <v>15</v>
      </c>
      <c r="M41" s="1020">
        <v>20</v>
      </c>
      <c r="N41" t="s" s="408">
        <v>474</v>
      </c>
    </row>
    <row r="42" ht="13.55" customHeight="1">
      <c r="A42" s="27"/>
      <c r="B42" t="s" s="1019">
        <v>137</v>
      </c>
      <c r="C42" t="s" s="297">
        <v>176</v>
      </c>
      <c r="D42" t="s" s="956">
        <v>176</v>
      </c>
      <c r="E42" t="s" s="404">
        <v>465</v>
      </c>
      <c r="F42" t="s" s="1019">
        <v>466</v>
      </c>
      <c r="G42" t="s" s="297">
        <v>466</v>
      </c>
      <c r="H42" t="s" s="956">
        <v>466</v>
      </c>
      <c r="I42" t="s" s="956">
        <v>466</v>
      </c>
      <c r="J42" t="s" s="956">
        <v>466</v>
      </c>
      <c r="K42" s="955">
        <v>0</v>
      </c>
      <c r="L42" t="s" s="956">
        <v>466</v>
      </c>
      <c r="M42" t="s" s="1021">
        <v>466</v>
      </c>
      <c r="N42" t="s" s="408">
        <v>465</v>
      </c>
    </row>
    <row r="43" ht="30" customHeight="1">
      <c r="A43" s="27"/>
      <c r="B43" t="s" s="1019">
        <v>420</v>
      </c>
      <c r="C43" t="s" s="403">
        <v>180</v>
      </c>
      <c r="D43" t="s" s="960">
        <v>180</v>
      </c>
      <c r="E43" t="s" s="1021">
        <v>414</v>
      </c>
      <c r="F43" t="s" s="1019">
        <v>466</v>
      </c>
      <c r="G43" t="s" s="297">
        <v>466</v>
      </c>
      <c r="H43" t="s" s="956">
        <v>466</v>
      </c>
      <c r="I43" t="s" s="956">
        <v>466</v>
      </c>
      <c r="J43" s="955">
        <v>1</v>
      </c>
      <c r="K43" t="s" s="956">
        <v>466</v>
      </c>
      <c r="L43" t="s" s="956">
        <v>466</v>
      </c>
      <c r="M43" t="s" s="1021">
        <v>466</v>
      </c>
      <c r="N43" t="s" s="408">
        <v>479</v>
      </c>
    </row>
    <row r="44" ht="13.55" customHeight="1">
      <c r="A44" s="27"/>
      <c r="B44" t="s" s="1019">
        <v>418</v>
      </c>
      <c r="C44" t="s" s="297">
        <v>182</v>
      </c>
      <c r="D44" t="s" s="956">
        <v>471</v>
      </c>
      <c r="E44" t="s" s="1021">
        <v>418</v>
      </c>
      <c r="F44" t="s" s="1019">
        <v>463</v>
      </c>
      <c r="G44" s="1022">
        <v>3</v>
      </c>
      <c r="H44" s="955">
        <v>5</v>
      </c>
      <c r="I44" t="s" s="956">
        <v>466</v>
      </c>
      <c r="J44" t="s" s="956">
        <v>466</v>
      </c>
      <c r="K44" t="s" s="956">
        <v>466</v>
      </c>
      <c r="L44" s="955">
        <v>2</v>
      </c>
      <c r="M44" s="1020">
        <v>5</v>
      </c>
      <c r="N44" t="s" s="408">
        <v>474</v>
      </c>
    </row>
    <row r="45" ht="13.55" customHeight="1">
      <c r="A45" s="27"/>
      <c r="B45" t="s" s="1019">
        <v>419</v>
      </c>
      <c r="C45" t="s" s="297">
        <v>182</v>
      </c>
      <c r="D45" t="s" s="956">
        <v>471</v>
      </c>
      <c r="E45" t="s" s="1021">
        <v>419</v>
      </c>
      <c r="F45" t="s" s="1019">
        <v>463</v>
      </c>
      <c r="G45" s="1022">
        <v>3</v>
      </c>
      <c r="H45" s="955">
        <v>5</v>
      </c>
      <c r="I45" t="s" s="956">
        <v>466</v>
      </c>
      <c r="J45" t="s" s="956">
        <v>466</v>
      </c>
      <c r="K45" t="s" s="956">
        <v>466</v>
      </c>
      <c r="L45" s="955">
        <v>2</v>
      </c>
      <c r="M45" s="1020">
        <v>5</v>
      </c>
      <c r="N45" t="s" s="408">
        <v>474</v>
      </c>
    </row>
    <row r="46" ht="30" customHeight="1">
      <c r="A46" s="27"/>
      <c r="B46" t="s" s="1019">
        <v>178</v>
      </c>
      <c r="C46" t="s" s="403">
        <v>180</v>
      </c>
      <c r="D46" t="s" s="960">
        <v>180</v>
      </c>
      <c r="E46" t="s" s="404">
        <v>465</v>
      </c>
      <c r="F46" t="s" s="1019">
        <v>466</v>
      </c>
      <c r="G46" t="s" s="297">
        <v>466</v>
      </c>
      <c r="H46" t="s" s="956">
        <v>466</v>
      </c>
      <c r="I46" t="s" s="956">
        <v>466</v>
      </c>
      <c r="J46" s="955">
        <v>1</v>
      </c>
      <c r="K46" t="s" s="956">
        <v>466</v>
      </c>
      <c r="L46" t="s" s="956">
        <v>466</v>
      </c>
      <c r="M46" t="s" s="1021">
        <v>466</v>
      </c>
      <c r="N46" t="s" s="408">
        <v>465</v>
      </c>
    </row>
    <row r="47" ht="13.55" customHeight="1">
      <c r="A47" s="27"/>
      <c r="B47" t="s" s="1019">
        <v>417</v>
      </c>
      <c r="C47" t="s" s="297">
        <v>182</v>
      </c>
      <c r="D47" t="s" s="956">
        <v>471</v>
      </c>
      <c r="E47" t="s" s="1021">
        <v>480</v>
      </c>
      <c r="F47" t="s" s="1019">
        <v>463</v>
      </c>
      <c r="G47" s="1022">
        <v>3</v>
      </c>
      <c r="H47" s="955">
        <v>5</v>
      </c>
      <c r="I47" t="s" s="956">
        <v>466</v>
      </c>
      <c r="J47" t="s" s="956">
        <v>466</v>
      </c>
      <c r="K47" t="s" s="956">
        <v>466</v>
      </c>
      <c r="L47" s="955">
        <v>2</v>
      </c>
      <c r="M47" s="1020">
        <v>10</v>
      </c>
      <c r="N47" t="s" s="408">
        <v>481</v>
      </c>
    </row>
    <row r="48" ht="30" customHeight="1">
      <c r="A48" s="27"/>
      <c r="B48" t="s" s="1019">
        <v>421</v>
      </c>
      <c r="C48" t="s" s="403">
        <v>180</v>
      </c>
      <c r="D48" t="s" s="960">
        <v>180</v>
      </c>
      <c r="E48" t="s" s="404">
        <v>465</v>
      </c>
      <c r="F48" t="s" s="1019">
        <v>466</v>
      </c>
      <c r="G48" t="s" s="297">
        <v>466</v>
      </c>
      <c r="H48" t="s" s="956">
        <v>466</v>
      </c>
      <c r="I48" t="s" s="956">
        <v>466</v>
      </c>
      <c r="J48" s="955">
        <v>1</v>
      </c>
      <c r="K48" t="s" s="956">
        <v>466</v>
      </c>
      <c r="L48" t="s" s="956">
        <v>466</v>
      </c>
      <c r="M48" t="s" s="1021">
        <v>466</v>
      </c>
      <c r="N48" t="s" s="408">
        <v>465</v>
      </c>
    </row>
    <row r="49" ht="13.55" customHeight="1">
      <c r="A49" s="27"/>
      <c r="B49" t="s" s="1019">
        <v>422</v>
      </c>
      <c r="C49" t="s" s="297">
        <v>182</v>
      </c>
      <c r="D49" t="s" s="956">
        <v>471</v>
      </c>
      <c r="E49" t="s" s="1021">
        <v>422</v>
      </c>
      <c r="F49" t="s" s="1019">
        <v>463</v>
      </c>
      <c r="G49" s="1022">
        <v>3</v>
      </c>
      <c r="H49" s="955">
        <v>5</v>
      </c>
      <c r="I49" t="s" s="956">
        <v>466</v>
      </c>
      <c r="J49" t="s" s="956">
        <v>466</v>
      </c>
      <c r="K49" t="s" s="956">
        <v>466</v>
      </c>
      <c r="L49" s="955">
        <v>1</v>
      </c>
      <c r="M49" s="1020">
        <v>1</v>
      </c>
      <c r="N49" t="s" s="408">
        <v>474</v>
      </c>
    </row>
    <row r="50" ht="29.1" customHeight="1">
      <c r="A50" s="27"/>
      <c r="B50" t="s" s="1019">
        <v>423</v>
      </c>
      <c r="C50" t="s" s="403">
        <v>180</v>
      </c>
      <c r="D50" t="s" s="960">
        <v>180</v>
      </c>
      <c r="E50" t="s" s="1021">
        <v>408</v>
      </c>
      <c r="F50" t="s" s="1019">
        <v>466</v>
      </c>
      <c r="G50" t="s" s="297">
        <v>466</v>
      </c>
      <c r="H50" t="s" s="956">
        <v>466</v>
      </c>
      <c r="I50" t="s" s="956">
        <v>466</v>
      </c>
      <c r="J50" s="955">
        <v>1</v>
      </c>
      <c r="K50" t="s" s="956">
        <v>466</v>
      </c>
      <c r="L50" t="s" s="956">
        <v>466</v>
      </c>
      <c r="M50" t="s" s="1021">
        <v>466</v>
      </c>
      <c r="N50" t="s" s="408">
        <v>482</v>
      </c>
    </row>
    <row r="51" ht="13.55" customHeight="1">
      <c r="A51" s="27"/>
      <c r="B51" t="s" s="1019">
        <v>149</v>
      </c>
      <c r="C51" t="s" s="297">
        <v>182</v>
      </c>
      <c r="D51" t="s" s="1021">
        <v>471</v>
      </c>
      <c r="E51" t="s" s="1019">
        <v>149</v>
      </c>
      <c r="F51" t="s" s="1019">
        <v>463</v>
      </c>
      <c r="G51" s="1022">
        <v>27</v>
      </c>
      <c r="H51" t="s" s="956">
        <v>483</v>
      </c>
      <c r="I51" t="s" s="956">
        <v>466</v>
      </c>
      <c r="J51" t="s" s="956">
        <v>466</v>
      </c>
      <c r="K51" t="s" s="956">
        <v>466</v>
      </c>
      <c r="L51" s="955">
        <v>16</v>
      </c>
      <c r="M51" t="s" s="1021">
        <v>466</v>
      </c>
      <c r="N51" t="s" s="408">
        <v>465</v>
      </c>
    </row>
    <row r="52" ht="13.55" customHeight="1">
      <c r="A52" s="27"/>
      <c r="B52" t="s" s="1019">
        <v>424</v>
      </c>
      <c r="C52" t="s" s="297">
        <v>182</v>
      </c>
      <c r="D52" t="s" s="956">
        <v>471</v>
      </c>
      <c r="E52" t="s" s="1021">
        <v>424</v>
      </c>
      <c r="F52" t="s" s="1019">
        <v>463</v>
      </c>
      <c r="G52" s="1022">
        <v>3</v>
      </c>
      <c r="H52" s="955">
        <v>5</v>
      </c>
      <c r="I52" t="s" s="956">
        <v>466</v>
      </c>
      <c r="J52" t="s" s="956">
        <v>466</v>
      </c>
      <c r="K52" t="s" s="956">
        <v>466</v>
      </c>
      <c r="L52" s="955">
        <v>2</v>
      </c>
      <c r="M52" s="1020">
        <v>5</v>
      </c>
      <c r="N52" t="s" s="408">
        <v>474</v>
      </c>
    </row>
    <row r="53" ht="13.55" customHeight="1">
      <c r="A53" s="27"/>
      <c r="B53" t="s" s="1019">
        <v>145</v>
      </c>
      <c r="C53" t="s" s="297">
        <v>176</v>
      </c>
      <c r="D53" t="s" s="956">
        <v>176</v>
      </c>
      <c r="E53" t="s" s="404">
        <v>465</v>
      </c>
      <c r="F53" t="s" s="1019">
        <v>466</v>
      </c>
      <c r="G53" t="s" s="297">
        <v>466</v>
      </c>
      <c r="H53" t="s" s="956">
        <v>466</v>
      </c>
      <c r="I53" t="s" s="956">
        <v>466</v>
      </c>
      <c r="J53" t="s" s="956">
        <v>466</v>
      </c>
      <c r="K53" s="955">
        <v>0</v>
      </c>
      <c r="L53" t="s" s="956">
        <v>466</v>
      </c>
      <c r="M53" t="s" s="1021">
        <v>466</v>
      </c>
      <c r="N53" t="s" s="408">
        <v>465</v>
      </c>
    </row>
    <row r="54" ht="13.55" customHeight="1">
      <c r="A54" s="27"/>
      <c r="B54" t="s" s="1019">
        <v>425</v>
      </c>
      <c r="C54" t="s" s="297">
        <v>182</v>
      </c>
      <c r="D54" t="s" s="956">
        <v>471</v>
      </c>
      <c r="E54" t="s" s="1021">
        <v>425</v>
      </c>
      <c r="F54" t="s" s="1019">
        <v>463</v>
      </c>
      <c r="G54" s="1022">
        <v>3</v>
      </c>
      <c r="H54" s="955">
        <v>5</v>
      </c>
      <c r="I54" t="s" s="956">
        <v>466</v>
      </c>
      <c r="J54" t="s" s="956">
        <v>466</v>
      </c>
      <c r="K54" t="s" s="956">
        <v>466</v>
      </c>
      <c r="L54" s="955">
        <v>1</v>
      </c>
      <c r="M54" s="1020">
        <v>1</v>
      </c>
      <c r="N54" t="s" s="408">
        <v>474</v>
      </c>
    </row>
    <row r="55" ht="30" customHeight="1">
      <c r="A55" s="27"/>
      <c r="B55" t="s" s="1019">
        <v>426</v>
      </c>
      <c r="C55" t="s" s="403">
        <v>180</v>
      </c>
      <c r="D55" t="s" s="960">
        <v>180</v>
      </c>
      <c r="E55" t="s" s="404">
        <v>465</v>
      </c>
      <c r="F55" t="s" s="1019">
        <v>466</v>
      </c>
      <c r="G55" t="s" s="297">
        <v>466</v>
      </c>
      <c r="H55" t="s" s="956">
        <v>466</v>
      </c>
      <c r="I55" t="s" s="956">
        <v>466</v>
      </c>
      <c r="J55" s="955">
        <v>1</v>
      </c>
      <c r="K55" t="s" s="956">
        <v>466</v>
      </c>
      <c r="L55" s="955">
        <v>2</v>
      </c>
      <c r="M55" s="1020">
        <v>5</v>
      </c>
      <c r="N55" t="s" s="408">
        <v>474</v>
      </c>
    </row>
    <row r="56" ht="13.55" customHeight="1">
      <c r="A56" s="27"/>
      <c r="B56" t="s" s="1019">
        <v>427</v>
      </c>
      <c r="C56" t="s" s="297">
        <v>182</v>
      </c>
      <c r="D56" t="s" s="956">
        <v>471</v>
      </c>
      <c r="E56" t="s" s="1021">
        <v>427</v>
      </c>
      <c r="F56" t="s" s="1019">
        <v>463</v>
      </c>
      <c r="G56" s="1022">
        <v>3</v>
      </c>
      <c r="H56" s="955">
        <v>5</v>
      </c>
      <c r="I56" t="s" s="956">
        <v>466</v>
      </c>
      <c r="J56" t="s" s="956">
        <v>466</v>
      </c>
      <c r="K56" t="s" s="956">
        <v>466</v>
      </c>
      <c r="L56" s="955">
        <v>1</v>
      </c>
      <c r="M56" s="1020">
        <v>1</v>
      </c>
      <c r="N56" t="s" s="408">
        <v>474</v>
      </c>
    </row>
    <row r="57" ht="13.55" customHeight="1">
      <c r="A57" s="27"/>
      <c r="B57" t="s" s="1019">
        <v>428</v>
      </c>
      <c r="C57" t="s" s="297">
        <v>182</v>
      </c>
      <c r="D57" t="s" s="956">
        <v>471</v>
      </c>
      <c r="E57" t="s" s="1021">
        <v>484</v>
      </c>
      <c r="F57" t="s" s="1019">
        <v>463</v>
      </c>
      <c r="G57" s="1022">
        <v>30</v>
      </c>
      <c r="H57" t="s" s="956">
        <v>483</v>
      </c>
      <c r="I57" t="s" s="956">
        <v>466</v>
      </c>
      <c r="J57" t="s" s="956">
        <v>466</v>
      </c>
      <c r="K57" t="s" s="956">
        <v>466</v>
      </c>
      <c r="L57" t="s" s="956">
        <v>483</v>
      </c>
      <c r="M57" t="s" s="1021">
        <v>466</v>
      </c>
      <c r="N57" t="s" s="408">
        <v>485</v>
      </c>
    </row>
    <row r="58" ht="13.55" customHeight="1">
      <c r="A58" s="27"/>
      <c r="B58" t="s" s="1019">
        <v>429</v>
      </c>
      <c r="C58" t="s" s="297">
        <v>182</v>
      </c>
      <c r="D58" t="s" s="956">
        <v>471</v>
      </c>
      <c r="E58" t="s" s="1021">
        <v>429</v>
      </c>
      <c r="F58" t="s" s="1019">
        <v>463</v>
      </c>
      <c r="G58" t="s" s="297">
        <v>483</v>
      </c>
      <c r="H58" t="s" s="956">
        <v>483</v>
      </c>
      <c r="I58" t="s" s="956">
        <v>466</v>
      </c>
      <c r="J58" t="s" s="956">
        <v>466</v>
      </c>
      <c r="K58" t="s" s="956">
        <v>466</v>
      </c>
      <c r="L58" s="955">
        <v>15</v>
      </c>
      <c r="M58" t="s" s="1021">
        <v>483</v>
      </c>
      <c r="N58" t="s" s="408">
        <v>474</v>
      </c>
    </row>
    <row r="59" ht="13.55" customHeight="1">
      <c r="A59" s="27"/>
      <c r="B59" t="s" s="1019">
        <v>430</v>
      </c>
      <c r="C59" t="s" s="297">
        <v>182</v>
      </c>
      <c r="D59" t="s" s="956">
        <v>471</v>
      </c>
      <c r="E59" t="s" s="1021">
        <v>430</v>
      </c>
      <c r="F59" t="s" s="1019">
        <v>463</v>
      </c>
      <c r="G59" s="1022">
        <v>15</v>
      </c>
      <c r="H59" t="s" s="956">
        <v>483</v>
      </c>
      <c r="I59" t="s" s="956">
        <v>466</v>
      </c>
      <c r="J59" t="s" s="956">
        <v>466</v>
      </c>
      <c r="K59" t="s" s="956">
        <v>466</v>
      </c>
      <c r="L59" s="955">
        <v>10</v>
      </c>
      <c r="M59" s="1020">
        <v>25</v>
      </c>
      <c r="N59" t="s" s="408">
        <v>474</v>
      </c>
    </row>
    <row r="60" ht="13.55" customHeight="1">
      <c r="A60" s="27"/>
      <c r="B60" t="s" s="1019">
        <v>431</v>
      </c>
      <c r="C60" t="s" s="297">
        <v>182</v>
      </c>
      <c r="D60" t="s" s="956">
        <v>471</v>
      </c>
      <c r="E60" t="s" s="1021">
        <v>431</v>
      </c>
      <c r="F60" t="s" s="1019">
        <v>463</v>
      </c>
      <c r="G60" s="1022">
        <v>30</v>
      </c>
      <c r="H60" t="s" s="956">
        <v>483</v>
      </c>
      <c r="I60" t="s" s="956">
        <v>466</v>
      </c>
      <c r="J60" t="s" s="956">
        <v>466</v>
      </c>
      <c r="K60" t="s" s="956">
        <v>466</v>
      </c>
      <c r="L60" s="955">
        <v>10</v>
      </c>
      <c r="M60" s="1020">
        <v>25</v>
      </c>
      <c r="N60" t="s" s="408">
        <v>474</v>
      </c>
    </row>
    <row r="61" ht="13.55" customHeight="1">
      <c r="A61" s="27"/>
      <c r="B61" t="s" s="1019">
        <v>432</v>
      </c>
      <c r="C61" t="s" s="297">
        <v>182</v>
      </c>
      <c r="D61" t="s" s="956">
        <v>471</v>
      </c>
      <c r="E61" t="s" s="1021">
        <v>432</v>
      </c>
      <c r="F61" t="s" s="1019">
        <v>463</v>
      </c>
      <c r="G61" s="1022">
        <v>1</v>
      </c>
      <c r="H61" s="955">
        <v>3</v>
      </c>
      <c r="I61" t="s" s="956">
        <v>466</v>
      </c>
      <c r="J61" t="s" s="956">
        <v>466</v>
      </c>
      <c r="K61" t="s" s="956">
        <v>466</v>
      </c>
      <c r="L61" s="955">
        <v>2</v>
      </c>
      <c r="M61" t="s" s="1021">
        <v>466</v>
      </c>
      <c r="N61" t="s" s="408">
        <v>474</v>
      </c>
    </row>
    <row r="62" ht="13.55" customHeight="1">
      <c r="A62" s="27"/>
      <c r="B62" t="s" s="1019">
        <v>433</v>
      </c>
      <c r="C62" t="s" s="297">
        <v>182</v>
      </c>
      <c r="D62" t="s" s="956">
        <v>471</v>
      </c>
      <c r="E62" t="s" s="1021">
        <v>433</v>
      </c>
      <c r="F62" t="s" s="1019">
        <v>463</v>
      </c>
      <c r="G62" s="1022">
        <v>7</v>
      </c>
      <c r="H62" s="955">
        <v>15</v>
      </c>
      <c r="I62" t="s" s="956">
        <v>466</v>
      </c>
      <c r="J62" t="s" s="956">
        <v>466</v>
      </c>
      <c r="K62" t="s" s="956">
        <v>466</v>
      </c>
      <c r="L62" s="955">
        <v>14</v>
      </c>
      <c r="M62" t="s" s="1021">
        <v>466</v>
      </c>
      <c r="N62" t="s" s="408">
        <v>474</v>
      </c>
    </row>
    <row r="63" ht="13.55" customHeight="1">
      <c r="A63" s="27"/>
      <c r="B63" t="s" s="1019">
        <v>434</v>
      </c>
      <c r="C63" t="s" s="297">
        <v>182</v>
      </c>
      <c r="D63" t="s" s="956">
        <v>471</v>
      </c>
      <c r="E63" t="s" s="1021">
        <v>434</v>
      </c>
      <c r="F63" t="s" s="1019">
        <v>463</v>
      </c>
      <c r="G63" s="1022">
        <v>1</v>
      </c>
      <c r="H63" s="955">
        <v>3</v>
      </c>
      <c r="I63" t="s" s="956">
        <v>466</v>
      </c>
      <c r="J63" t="s" s="956">
        <v>466</v>
      </c>
      <c r="K63" t="s" s="956">
        <v>466</v>
      </c>
      <c r="L63" s="955">
        <v>2</v>
      </c>
      <c r="M63" t="s" s="1021">
        <v>466</v>
      </c>
      <c r="N63" t="s" s="408">
        <v>474</v>
      </c>
    </row>
    <row r="64" ht="13.55" customHeight="1">
      <c r="A64" s="27"/>
      <c r="B64" t="s" s="1019">
        <v>435</v>
      </c>
      <c r="C64" t="s" s="297">
        <v>182</v>
      </c>
      <c r="D64" t="s" s="956">
        <v>471</v>
      </c>
      <c r="E64" t="s" s="1021">
        <v>435</v>
      </c>
      <c r="F64" t="s" s="1019">
        <v>463</v>
      </c>
      <c r="G64" s="1022">
        <v>3</v>
      </c>
      <c r="H64" s="955">
        <v>6</v>
      </c>
      <c r="I64" t="s" s="956">
        <v>466</v>
      </c>
      <c r="J64" t="s" s="956">
        <v>466</v>
      </c>
      <c r="K64" t="s" s="956">
        <v>466</v>
      </c>
      <c r="L64" s="955">
        <v>4</v>
      </c>
      <c r="M64" t="s" s="1021">
        <v>466</v>
      </c>
      <c r="N64" t="s" s="408">
        <v>474</v>
      </c>
    </row>
    <row r="65" ht="13.55" customHeight="1">
      <c r="A65" s="27"/>
      <c r="B65" t="s" s="1019">
        <v>436</v>
      </c>
      <c r="C65" t="s" s="297">
        <v>182</v>
      </c>
      <c r="D65" t="s" s="956">
        <v>471</v>
      </c>
      <c r="E65" t="s" s="1021">
        <v>436</v>
      </c>
      <c r="F65" t="s" s="1019">
        <v>463</v>
      </c>
      <c r="G65" s="1022">
        <v>1</v>
      </c>
      <c r="H65" s="955">
        <v>4</v>
      </c>
      <c r="I65" t="s" s="956">
        <v>466</v>
      </c>
      <c r="J65" t="s" s="956">
        <v>466</v>
      </c>
      <c r="K65" t="s" s="956">
        <v>466</v>
      </c>
      <c r="L65" s="955">
        <v>3</v>
      </c>
      <c r="M65" t="s" s="1021">
        <v>466</v>
      </c>
      <c r="N65" t="s" s="408">
        <v>474</v>
      </c>
    </row>
    <row r="66" ht="13.55" customHeight="1">
      <c r="A66" s="27"/>
      <c r="B66" t="s" s="1019">
        <v>437</v>
      </c>
      <c r="C66" t="s" s="297">
        <v>182</v>
      </c>
      <c r="D66" t="s" s="956">
        <v>471</v>
      </c>
      <c r="E66" t="s" s="1021">
        <v>437</v>
      </c>
      <c r="F66" t="s" s="1019">
        <v>463</v>
      </c>
      <c r="G66" s="1022">
        <v>3</v>
      </c>
      <c r="H66" s="955">
        <v>5</v>
      </c>
      <c r="I66" t="s" s="956">
        <v>466</v>
      </c>
      <c r="J66" t="s" s="956">
        <v>466</v>
      </c>
      <c r="K66" t="s" s="956">
        <v>466</v>
      </c>
      <c r="L66" s="955">
        <v>4</v>
      </c>
      <c r="M66" t="s" s="1021">
        <v>466</v>
      </c>
      <c r="N66" t="s" s="408">
        <v>474</v>
      </c>
    </row>
    <row r="67" ht="13.55" customHeight="1">
      <c r="A67" s="27"/>
      <c r="B67" t="s" s="1019">
        <v>438</v>
      </c>
      <c r="C67" t="s" s="297">
        <v>182</v>
      </c>
      <c r="D67" t="s" s="956">
        <v>471</v>
      </c>
      <c r="E67" t="s" s="1021">
        <v>438</v>
      </c>
      <c r="F67" t="s" s="1019">
        <v>463</v>
      </c>
      <c r="G67" s="1022">
        <v>3</v>
      </c>
      <c r="H67" s="955">
        <v>5</v>
      </c>
      <c r="I67" t="s" s="956">
        <v>466</v>
      </c>
      <c r="J67" t="s" s="956">
        <v>466</v>
      </c>
      <c r="K67" t="s" s="956">
        <v>466</v>
      </c>
      <c r="L67" s="955">
        <v>2</v>
      </c>
      <c r="M67" t="s" s="1021">
        <v>466</v>
      </c>
      <c r="N67" t="s" s="408">
        <v>474</v>
      </c>
    </row>
    <row r="68" ht="13.55" customHeight="1">
      <c r="A68" s="27"/>
      <c r="B68" t="s" s="1019">
        <v>439</v>
      </c>
      <c r="C68" t="s" s="297">
        <v>182</v>
      </c>
      <c r="D68" t="s" s="956">
        <v>471</v>
      </c>
      <c r="E68" t="s" s="1021">
        <v>439</v>
      </c>
      <c r="F68" t="s" s="1019">
        <v>463</v>
      </c>
      <c r="G68" s="1022">
        <v>10</v>
      </c>
      <c r="H68" s="955">
        <v>20</v>
      </c>
      <c r="I68" t="s" s="956">
        <v>466</v>
      </c>
      <c r="J68" t="s" s="956">
        <v>466</v>
      </c>
      <c r="K68" t="s" s="956">
        <v>466</v>
      </c>
      <c r="L68" s="955">
        <v>20</v>
      </c>
      <c r="M68" t="s" s="1021">
        <v>466</v>
      </c>
      <c r="N68" t="s" s="408">
        <v>474</v>
      </c>
    </row>
    <row r="69" ht="13.55" customHeight="1">
      <c r="A69" s="27"/>
      <c r="B69" t="s" s="1019">
        <v>440</v>
      </c>
      <c r="C69" t="s" s="297">
        <v>182</v>
      </c>
      <c r="D69" t="s" s="956">
        <v>471</v>
      </c>
      <c r="E69" t="s" s="1021">
        <v>440</v>
      </c>
      <c r="F69" t="s" s="1019">
        <v>463</v>
      </c>
      <c r="G69" s="1022">
        <v>5</v>
      </c>
      <c r="H69" s="955">
        <v>15</v>
      </c>
      <c r="I69" t="s" s="956">
        <v>466</v>
      </c>
      <c r="J69" t="s" s="956">
        <v>466</v>
      </c>
      <c r="K69" t="s" s="956">
        <v>466</v>
      </c>
      <c r="L69" s="955">
        <v>6</v>
      </c>
      <c r="M69" t="s" s="1021">
        <v>466</v>
      </c>
      <c r="N69" t="s" s="408">
        <v>474</v>
      </c>
    </row>
    <row r="70" ht="13.55" customHeight="1">
      <c r="A70" s="27"/>
      <c r="B70" t="s" s="1019">
        <v>441</v>
      </c>
      <c r="C70" t="s" s="297">
        <v>182</v>
      </c>
      <c r="D70" t="s" s="956">
        <v>471</v>
      </c>
      <c r="E70" t="s" s="1021">
        <v>441</v>
      </c>
      <c r="F70" t="s" s="1019">
        <v>463</v>
      </c>
      <c r="G70" s="1022">
        <v>1</v>
      </c>
      <c r="H70" s="955">
        <v>4</v>
      </c>
      <c r="I70" t="s" s="956">
        <v>466</v>
      </c>
      <c r="J70" t="s" s="956">
        <v>466</v>
      </c>
      <c r="K70" t="s" s="956">
        <v>466</v>
      </c>
      <c r="L70" s="955">
        <v>3</v>
      </c>
      <c r="M70" t="s" s="1021">
        <v>466</v>
      </c>
      <c r="N70" t="s" s="408">
        <v>474</v>
      </c>
    </row>
    <row r="71" ht="13.55" customHeight="1">
      <c r="A71" s="27"/>
      <c r="B71" t="s" s="1019">
        <v>442</v>
      </c>
      <c r="C71" t="s" s="297">
        <v>182</v>
      </c>
      <c r="D71" t="s" s="956">
        <v>471</v>
      </c>
      <c r="E71" t="s" s="1021">
        <v>486</v>
      </c>
      <c r="F71" t="s" s="1019">
        <v>463</v>
      </c>
      <c r="G71" s="1022">
        <v>5</v>
      </c>
      <c r="H71" s="955">
        <v>15</v>
      </c>
      <c r="I71" t="s" s="956">
        <v>466</v>
      </c>
      <c r="J71" t="s" s="956">
        <v>466</v>
      </c>
      <c r="K71" t="s" s="956">
        <v>466</v>
      </c>
      <c r="L71" s="955">
        <v>8</v>
      </c>
      <c r="M71" t="s" s="1021">
        <v>466</v>
      </c>
      <c r="N71" t="s" s="408">
        <v>487</v>
      </c>
    </row>
    <row r="72" ht="13.55" customHeight="1">
      <c r="A72" s="27"/>
      <c r="B72" t="s" s="1019">
        <v>443</v>
      </c>
      <c r="C72" t="s" s="297">
        <v>182</v>
      </c>
      <c r="D72" t="s" s="956">
        <v>471</v>
      </c>
      <c r="E72" t="s" s="1021">
        <v>488</v>
      </c>
      <c r="F72" t="s" s="1019">
        <v>463</v>
      </c>
      <c r="G72" s="1022">
        <v>4</v>
      </c>
      <c r="H72" s="955">
        <v>13</v>
      </c>
      <c r="I72" t="s" s="956">
        <v>466</v>
      </c>
      <c r="J72" t="s" s="956">
        <v>466</v>
      </c>
      <c r="K72" t="s" s="956">
        <v>466</v>
      </c>
      <c r="L72" s="955">
        <v>7</v>
      </c>
      <c r="M72" t="s" s="1021">
        <v>466</v>
      </c>
      <c r="N72" t="s" s="408">
        <v>487</v>
      </c>
    </row>
    <row r="73" ht="13.55" customHeight="1">
      <c r="A73" s="27"/>
      <c r="B73" t="s" s="1019">
        <v>444</v>
      </c>
      <c r="C73" t="s" s="297">
        <v>182</v>
      </c>
      <c r="D73" t="s" s="956">
        <v>471</v>
      </c>
      <c r="E73" t="s" s="1021">
        <v>444</v>
      </c>
      <c r="F73" t="s" s="1019">
        <v>463</v>
      </c>
      <c r="G73" s="1022">
        <v>4</v>
      </c>
      <c r="H73" s="955">
        <v>13</v>
      </c>
      <c r="I73" t="s" s="956">
        <v>466</v>
      </c>
      <c r="J73" t="s" s="956">
        <v>466</v>
      </c>
      <c r="K73" t="s" s="956">
        <v>466</v>
      </c>
      <c r="L73" s="955">
        <v>7</v>
      </c>
      <c r="M73" s="1020">
        <v>13</v>
      </c>
      <c r="N73" t="s" s="408">
        <v>474</v>
      </c>
    </row>
    <row r="74" ht="13.55" customHeight="1">
      <c r="A74" s="27"/>
      <c r="B74" t="s" s="1019">
        <v>307</v>
      </c>
      <c r="C74" t="s" s="297">
        <v>182</v>
      </c>
      <c r="D74" t="s" s="956">
        <v>471</v>
      </c>
      <c r="E74" t="s" s="1021">
        <v>307</v>
      </c>
      <c r="F74" t="s" s="1019">
        <v>463</v>
      </c>
      <c r="G74" s="1022">
        <v>5</v>
      </c>
      <c r="H74" s="955">
        <v>12</v>
      </c>
      <c r="I74" t="s" s="956">
        <v>466</v>
      </c>
      <c r="J74" t="s" s="956">
        <v>466</v>
      </c>
      <c r="K74" t="s" s="956">
        <v>466</v>
      </c>
      <c r="L74" s="955">
        <v>2</v>
      </c>
      <c r="M74" s="1023">
        <v>5</v>
      </c>
      <c r="N74" t="s" s="408">
        <v>474</v>
      </c>
    </row>
    <row r="75" ht="13.55" customHeight="1">
      <c r="A75" s="27"/>
      <c r="B75" t="s" s="1019">
        <v>308</v>
      </c>
      <c r="C75" t="s" s="297">
        <v>182</v>
      </c>
      <c r="D75" t="s" s="956">
        <v>471</v>
      </c>
      <c r="E75" t="s" s="1021">
        <v>308</v>
      </c>
      <c r="F75" t="s" s="1019">
        <v>463</v>
      </c>
      <c r="G75" s="1022">
        <v>5</v>
      </c>
      <c r="H75" s="955">
        <v>12</v>
      </c>
      <c r="I75" t="s" s="956">
        <v>466</v>
      </c>
      <c r="J75" t="s" s="956">
        <v>466</v>
      </c>
      <c r="K75" t="s" s="956">
        <v>466</v>
      </c>
      <c r="L75" s="955">
        <v>2</v>
      </c>
      <c r="M75" s="1023">
        <v>6</v>
      </c>
      <c r="N75" t="s" s="408">
        <v>474</v>
      </c>
    </row>
    <row r="76" ht="13.55" customHeight="1">
      <c r="A76" s="27"/>
      <c r="B76" t="s" s="1019">
        <v>309</v>
      </c>
      <c r="C76" t="s" s="297">
        <v>182</v>
      </c>
      <c r="D76" t="s" s="956">
        <v>471</v>
      </c>
      <c r="E76" t="s" s="1021">
        <v>309</v>
      </c>
      <c r="F76" t="s" s="1019">
        <v>463</v>
      </c>
      <c r="G76" s="1022">
        <v>10</v>
      </c>
      <c r="H76" s="955">
        <v>20</v>
      </c>
      <c r="I76" t="s" s="956">
        <v>466</v>
      </c>
      <c r="J76" t="s" s="956">
        <v>466</v>
      </c>
      <c r="K76" t="s" s="956">
        <v>466</v>
      </c>
      <c r="L76" s="955">
        <v>4</v>
      </c>
      <c r="M76" s="1023">
        <v>12</v>
      </c>
      <c r="N76" t="s" s="408">
        <v>474</v>
      </c>
    </row>
    <row r="77" ht="13.55" customHeight="1">
      <c r="A77" s="27"/>
      <c r="B77" t="s" s="1019">
        <v>313</v>
      </c>
      <c r="C77" t="s" s="297">
        <v>182</v>
      </c>
      <c r="D77" t="s" s="956">
        <v>471</v>
      </c>
      <c r="E77" t="s" s="1021">
        <v>489</v>
      </c>
      <c r="F77" t="s" s="1019">
        <v>463</v>
      </c>
      <c r="G77" s="1022">
        <v>5</v>
      </c>
      <c r="H77" s="955">
        <v>12</v>
      </c>
      <c r="I77" t="s" s="956">
        <v>466</v>
      </c>
      <c r="J77" t="s" s="956">
        <v>466</v>
      </c>
      <c r="K77" t="s" s="956">
        <v>466</v>
      </c>
      <c r="L77" s="955">
        <v>2</v>
      </c>
      <c r="M77" t="s" s="404">
        <v>466</v>
      </c>
      <c r="N77" t="s" s="408">
        <v>490</v>
      </c>
    </row>
    <row r="78" ht="13.55" customHeight="1">
      <c r="A78" s="27"/>
      <c r="B78" t="s" s="1019">
        <v>317</v>
      </c>
      <c r="C78" t="s" s="403">
        <v>464</v>
      </c>
      <c r="D78" t="s" s="960">
        <v>464</v>
      </c>
      <c r="E78" t="s" s="404">
        <v>465</v>
      </c>
      <c r="F78" t="s" s="1019">
        <v>466</v>
      </c>
      <c r="G78" t="s" s="297">
        <v>466</v>
      </c>
      <c r="H78" t="s" s="956">
        <v>466</v>
      </c>
      <c r="I78" s="955">
        <v>1</v>
      </c>
      <c r="J78" t="s" s="956">
        <v>466</v>
      </c>
      <c r="K78" t="s" s="956">
        <v>466</v>
      </c>
      <c r="L78" t="s" s="956">
        <v>466</v>
      </c>
      <c r="M78" t="s" s="404">
        <v>466</v>
      </c>
      <c r="N78" t="s" s="408">
        <v>465</v>
      </c>
    </row>
    <row r="79" ht="29.1" customHeight="1">
      <c r="A79" s="27"/>
      <c r="B79" t="s" s="1019">
        <v>314</v>
      </c>
      <c r="C79" t="s" s="297">
        <v>182</v>
      </c>
      <c r="D79" t="s" s="956">
        <v>471</v>
      </c>
      <c r="E79" t="s" s="404">
        <v>491</v>
      </c>
      <c r="F79" t="s" s="1019">
        <v>463</v>
      </c>
      <c r="G79" s="1022">
        <v>20</v>
      </c>
      <c r="H79" t="s" s="956">
        <v>483</v>
      </c>
      <c r="I79" t="s" s="956">
        <v>466</v>
      </c>
      <c r="J79" t="s" s="956">
        <v>466</v>
      </c>
      <c r="K79" t="s" s="956">
        <v>492</v>
      </c>
      <c r="L79" s="955">
        <v>10</v>
      </c>
      <c r="M79" t="s" s="404">
        <v>492</v>
      </c>
      <c r="N79" t="s" s="408">
        <v>493</v>
      </c>
    </row>
    <row r="80" ht="30" customHeight="1">
      <c r="A80" s="27"/>
      <c r="B80" t="s" s="1019">
        <v>310</v>
      </c>
      <c r="C80" t="s" s="297">
        <v>182</v>
      </c>
      <c r="D80" t="s" s="956">
        <v>471</v>
      </c>
      <c r="E80" t="s" s="1021">
        <v>494</v>
      </c>
      <c r="F80" t="s" s="1019">
        <v>463</v>
      </c>
      <c r="G80" s="1022">
        <v>20</v>
      </c>
      <c r="H80" t="s" s="956">
        <v>483</v>
      </c>
      <c r="I80" t="s" s="956">
        <v>466</v>
      </c>
      <c r="J80" t="s" s="956">
        <v>466</v>
      </c>
      <c r="K80" t="s" s="956">
        <v>466</v>
      </c>
      <c r="L80" s="955">
        <v>10</v>
      </c>
      <c r="M80" t="s" s="404">
        <v>466</v>
      </c>
      <c r="N80" t="s" s="408">
        <v>495</v>
      </c>
    </row>
    <row r="81" ht="29.1" customHeight="1">
      <c r="A81" s="27"/>
      <c r="B81" t="s" s="1019">
        <v>315</v>
      </c>
      <c r="C81" t="s" s="297">
        <v>182</v>
      </c>
      <c r="D81" t="s" s="956">
        <v>471</v>
      </c>
      <c r="E81" t="s" s="404">
        <v>496</v>
      </c>
      <c r="F81" t="s" s="1019">
        <v>463</v>
      </c>
      <c r="G81" s="1022">
        <v>20</v>
      </c>
      <c r="H81" t="s" s="956">
        <v>483</v>
      </c>
      <c r="I81" t="s" s="956">
        <v>466</v>
      </c>
      <c r="J81" t="s" s="956">
        <v>466</v>
      </c>
      <c r="K81" t="s" s="956">
        <v>466</v>
      </c>
      <c r="L81" s="955">
        <v>10</v>
      </c>
      <c r="M81" s="1023">
        <v>10</v>
      </c>
      <c r="N81" t="s" s="408">
        <v>493</v>
      </c>
    </row>
    <row r="82" ht="13.55" customHeight="1">
      <c r="A82" s="27"/>
      <c r="B82" t="s" s="1019">
        <v>311</v>
      </c>
      <c r="C82" t="s" s="297">
        <v>182</v>
      </c>
      <c r="D82" t="s" s="956">
        <v>471</v>
      </c>
      <c r="E82" t="s" s="1021">
        <v>497</v>
      </c>
      <c r="F82" t="s" s="1019">
        <v>463</v>
      </c>
      <c r="G82" s="1022">
        <v>20</v>
      </c>
      <c r="H82" t="s" s="956">
        <v>483</v>
      </c>
      <c r="I82" t="s" s="956">
        <v>466</v>
      </c>
      <c r="J82" t="s" s="956">
        <v>466</v>
      </c>
      <c r="K82" t="s" s="956">
        <v>466</v>
      </c>
      <c r="L82" s="955">
        <v>10</v>
      </c>
      <c r="M82" s="1023">
        <v>10</v>
      </c>
      <c r="N82" t="s" s="408">
        <v>474</v>
      </c>
    </row>
    <row r="83" ht="13.55" customHeight="1">
      <c r="A83" s="27"/>
      <c r="B83" t="s" s="1019">
        <v>335</v>
      </c>
      <c r="C83" t="s" s="297">
        <v>182</v>
      </c>
      <c r="D83" t="s" s="956">
        <v>471</v>
      </c>
      <c r="E83" t="s" s="1021">
        <v>335</v>
      </c>
      <c r="F83" t="s" s="1019">
        <v>463</v>
      </c>
      <c r="G83" s="1022">
        <v>5</v>
      </c>
      <c r="H83" s="955">
        <v>10</v>
      </c>
      <c r="I83" t="s" s="956">
        <v>466</v>
      </c>
      <c r="J83" t="s" s="956">
        <v>466</v>
      </c>
      <c r="K83" t="s" s="956">
        <v>466</v>
      </c>
      <c r="L83" s="955">
        <v>4</v>
      </c>
      <c r="M83" s="1023">
        <v>10</v>
      </c>
      <c r="N83" t="s" s="408">
        <v>474</v>
      </c>
    </row>
    <row r="84" ht="13.55" customHeight="1">
      <c r="A84" s="27"/>
      <c r="B84" t="s" s="1019">
        <v>334</v>
      </c>
      <c r="C84" t="s" s="297">
        <v>182</v>
      </c>
      <c r="D84" t="s" s="956">
        <v>471</v>
      </c>
      <c r="E84" t="s" s="1021">
        <v>334</v>
      </c>
      <c r="F84" t="s" s="1019">
        <v>463</v>
      </c>
      <c r="G84" s="1022">
        <v>5</v>
      </c>
      <c r="H84" s="955">
        <v>10</v>
      </c>
      <c r="I84" t="s" s="956">
        <v>466</v>
      </c>
      <c r="J84" t="s" s="956">
        <v>466</v>
      </c>
      <c r="K84" t="s" s="956">
        <v>466</v>
      </c>
      <c r="L84" s="955">
        <v>4</v>
      </c>
      <c r="M84" s="1023">
        <v>10</v>
      </c>
      <c r="N84" t="s" s="408">
        <v>474</v>
      </c>
    </row>
    <row r="85" ht="13.55" customHeight="1">
      <c r="A85" s="27"/>
      <c r="B85" t="s" s="1019">
        <v>336</v>
      </c>
      <c r="C85" t="s" s="403">
        <v>464</v>
      </c>
      <c r="D85" t="s" s="960">
        <v>464</v>
      </c>
      <c r="E85" t="s" s="404">
        <v>498</v>
      </c>
      <c r="F85" t="s" s="1019">
        <v>466</v>
      </c>
      <c r="G85" t="s" s="297">
        <v>466</v>
      </c>
      <c r="H85" t="s" s="956">
        <v>466</v>
      </c>
      <c r="I85" s="955">
        <v>1</v>
      </c>
      <c r="J85" t="s" s="956">
        <v>466</v>
      </c>
      <c r="K85" t="s" s="956">
        <v>466</v>
      </c>
      <c r="L85" t="s" s="956">
        <v>466</v>
      </c>
      <c r="M85" t="s" s="404">
        <v>466</v>
      </c>
      <c r="N85" t="s" s="408">
        <v>499</v>
      </c>
    </row>
    <row r="86" ht="13.55" customHeight="1">
      <c r="A86" s="27"/>
      <c r="B86" s="1024"/>
      <c r="C86" s="308"/>
      <c r="D86" s="958"/>
      <c r="E86" s="1025"/>
      <c r="F86" s="1024"/>
      <c r="G86" s="308"/>
      <c r="H86" s="958"/>
      <c r="I86" s="958"/>
      <c r="J86" s="958"/>
      <c r="K86" s="958"/>
      <c r="L86" s="958"/>
      <c r="M86" s="1025"/>
      <c r="N86" s="1024"/>
    </row>
    <row r="87" ht="13.55" customHeight="1">
      <c r="A87" s="27"/>
      <c r="B87" s="1024"/>
      <c r="C87" s="308"/>
      <c r="D87" s="958"/>
      <c r="E87" s="1025"/>
      <c r="F87" s="1024"/>
      <c r="G87" s="308"/>
      <c r="H87" s="958"/>
      <c r="I87" s="958"/>
      <c r="J87" s="958"/>
      <c r="K87" s="958"/>
      <c r="L87" s="958"/>
      <c r="M87" s="1025"/>
      <c r="N87" s="1024"/>
    </row>
    <row r="88" ht="13.55" customHeight="1">
      <c r="A88" s="27"/>
      <c r="B88" s="1024"/>
      <c r="C88" s="308"/>
      <c r="D88" s="958"/>
      <c r="E88" s="1025"/>
      <c r="F88" s="1024"/>
      <c r="G88" s="308"/>
      <c r="H88" s="958"/>
      <c r="I88" s="958"/>
      <c r="J88" s="958"/>
      <c r="K88" s="958"/>
      <c r="L88" s="958"/>
      <c r="M88" s="1025"/>
      <c r="N88" s="1024"/>
    </row>
    <row r="89" ht="13.55" customHeight="1">
      <c r="A89" s="27"/>
      <c r="B89" s="1024"/>
      <c r="C89" s="308"/>
      <c r="D89" s="958"/>
      <c r="E89" s="1025"/>
      <c r="F89" s="1024"/>
      <c r="G89" s="308"/>
      <c r="H89" s="958"/>
      <c r="I89" s="958"/>
      <c r="J89" s="958"/>
      <c r="K89" s="958"/>
      <c r="L89" s="958"/>
      <c r="M89" s="1025"/>
      <c r="N89" s="1024"/>
    </row>
    <row r="90" ht="13.55" customHeight="1">
      <c r="A90" s="27"/>
      <c r="B90" s="1024"/>
      <c r="C90" s="308"/>
      <c r="D90" s="958"/>
      <c r="E90" s="1025"/>
      <c r="F90" s="1024"/>
      <c r="G90" s="308"/>
      <c r="H90" s="958"/>
      <c r="I90" s="958"/>
      <c r="J90" s="958"/>
      <c r="K90" s="958"/>
      <c r="L90" s="958"/>
      <c r="M90" s="1025"/>
      <c r="N90" s="1024"/>
    </row>
    <row r="91" ht="13.55" customHeight="1">
      <c r="A91" s="27"/>
      <c r="B91" s="1024"/>
      <c r="C91" s="308"/>
      <c r="D91" s="958"/>
      <c r="E91" s="1025"/>
      <c r="F91" s="1024"/>
      <c r="G91" s="308"/>
      <c r="H91" s="958"/>
      <c r="I91" s="958"/>
      <c r="J91" s="958"/>
      <c r="K91" s="958"/>
      <c r="L91" s="958"/>
      <c r="M91" s="1025"/>
      <c r="N91" s="1024"/>
    </row>
    <row r="92" ht="13.55" customHeight="1">
      <c r="A92" s="27"/>
      <c r="B92" s="1024"/>
      <c r="C92" s="308"/>
      <c r="D92" s="958"/>
      <c r="E92" s="1025"/>
      <c r="F92" s="1024"/>
      <c r="G92" s="308"/>
      <c r="H92" s="958"/>
      <c r="I92" s="958"/>
      <c r="J92" s="958"/>
      <c r="K92" s="958"/>
      <c r="L92" s="958"/>
      <c r="M92" s="1025"/>
      <c r="N92" s="1024"/>
    </row>
    <row r="93" ht="13.55" customHeight="1">
      <c r="A93" s="27"/>
      <c r="B93" s="1024"/>
      <c r="C93" s="308"/>
      <c r="D93" s="958"/>
      <c r="E93" s="1025"/>
      <c r="F93" s="1024"/>
      <c r="G93" s="308"/>
      <c r="H93" s="958"/>
      <c r="I93" s="958"/>
      <c r="J93" s="958"/>
      <c r="K93" s="958"/>
      <c r="L93" s="958"/>
      <c r="M93" s="1025"/>
      <c r="N93" s="1024"/>
    </row>
    <row r="94" ht="13.55" customHeight="1">
      <c r="A94" s="27"/>
      <c r="B94" s="1024"/>
      <c r="C94" s="308"/>
      <c r="D94" s="958"/>
      <c r="E94" s="1025"/>
      <c r="F94" s="1024"/>
      <c r="G94" s="308"/>
      <c r="H94" s="958"/>
      <c r="I94" s="958"/>
      <c r="J94" s="958"/>
      <c r="K94" s="958"/>
      <c r="L94" s="958"/>
      <c r="M94" s="1025"/>
      <c r="N94" s="1024"/>
    </row>
    <row r="95" ht="13.55" customHeight="1">
      <c r="A95" s="27"/>
      <c r="B95" s="1024"/>
      <c r="C95" s="308"/>
      <c r="D95" s="958"/>
      <c r="E95" s="1025"/>
      <c r="F95" s="1024"/>
      <c r="G95" s="308"/>
      <c r="H95" s="958"/>
      <c r="I95" s="958"/>
      <c r="J95" s="958"/>
      <c r="K95" s="958"/>
      <c r="L95" s="958"/>
      <c r="M95" s="1025"/>
      <c r="N95" s="1024"/>
    </row>
    <row r="96" ht="13.55" customHeight="1">
      <c r="A96" s="27"/>
      <c r="B96" s="1024"/>
      <c r="C96" s="308"/>
      <c r="D96" s="958"/>
      <c r="E96" s="1025"/>
      <c r="F96" s="1024"/>
      <c r="G96" s="308"/>
      <c r="H96" s="958"/>
      <c r="I96" s="958"/>
      <c r="J96" s="958"/>
      <c r="K96" s="958"/>
      <c r="L96" s="958"/>
      <c r="M96" s="1025"/>
      <c r="N96" s="1024"/>
    </row>
    <row r="97" ht="13.55" customHeight="1">
      <c r="A97" s="27"/>
      <c r="B97" s="1024"/>
      <c r="C97" s="308"/>
      <c r="D97" s="958"/>
      <c r="E97" s="1025"/>
      <c r="F97" s="1024"/>
      <c r="G97" s="308"/>
      <c r="H97" s="958"/>
      <c r="I97" s="958"/>
      <c r="J97" s="958"/>
      <c r="K97" s="958"/>
      <c r="L97" s="958"/>
      <c r="M97" s="1025"/>
      <c r="N97" s="1024"/>
    </row>
    <row r="98" ht="13.55" customHeight="1">
      <c r="A98" s="27"/>
      <c r="B98" s="1024"/>
      <c r="C98" s="308"/>
      <c r="D98" s="958"/>
      <c r="E98" s="1025"/>
      <c r="F98" s="1024"/>
      <c r="G98" s="308"/>
      <c r="H98" s="958"/>
      <c r="I98" s="958"/>
      <c r="J98" s="958"/>
      <c r="K98" s="958"/>
      <c r="L98" s="958"/>
      <c r="M98" s="1025"/>
      <c r="N98" s="1024"/>
    </row>
    <row r="99" ht="13.55" customHeight="1">
      <c r="A99" s="27"/>
      <c r="B99" s="1024"/>
      <c r="C99" s="308"/>
      <c r="D99" s="958"/>
      <c r="E99" s="1025"/>
      <c r="F99" s="1024"/>
      <c r="G99" s="308"/>
      <c r="H99" s="958"/>
      <c r="I99" s="958"/>
      <c r="J99" s="958"/>
      <c r="K99" s="958"/>
      <c r="L99" s="958"/>
      <c r="M99" s="1025"/>
      <c r="N99" s="1024"/>
    </row>
    <row r="100" ht="13.55" customHeight="1">
      <c r="A100" s="27"/>
      <c r="B100" s="1024"/>
      <c r="C100" s="308"/>
      <c r="D100" s="958"/>
      <c r="E100" s="1025"/>
      <c r="F100" s="1024"/>
      <c r="G100" s="308"/>
      <c r="H100" s="958"/>
      <c r="I100" s="958"/>
      <c r="J100" s="958"/>
      <c r="K100" s="958"/>
      <c r="L100" s="958"/>
      <c r="M100" s="1025"/>
      <c r="N100" s="1024"/>
    </row>
    <row r="101" ht="13.55" customHeight="1">
      <c r="A101" s="27"/>
      <c r="B101" s="1024"/>
      <c r="C101" s="308"/>
      <c r="D101" s="958"/>
      <c r="E101" s="1025"/>
      <c r="F101" s="1024"/>
      <c r="G101" s="308"/>
      <c r="H101" s="958"/>
      <c r="I101" s="958"/>
      <c r="J101" s="958"/>
      <c r="K101" s="958"/>
      <c r="L101" s="958"/>
      <c r="M101" s="1025"/>
      <c r="N101" s="1024"/>
    </row>
    <row r="102" ht="13.55" customHeight="1">
      <c r="A102" s="27"/>
      <c r="B102" s="1024"/>
      <c r="C102" s="308"/>
      <c r="D102" s="958"/>
      <c r="E102" s="1025"/>
      <c r="F102" s="1024"/>
      <c r="G102" s="308"/>
      <c r="H102" s="958"/>
      <c r="I102" s="958"/>
      <c r="J102" s="958"/>
      <c r="K102" s="958"/>
      <c r="L102" s="958"/>
      <c r="M102" s="1025"/>
      <c r="N102" s="1024"/>
    </row>
    <row r="103" ht="13.55" customHeight="1">
      <c r="A103" s="27"/>
      <c r="B103" s="1024"/>
      <c r="C103" s="308"/>
      <c r="D103" s="958"/>
      <c r="E103" s="1025"/>
      <c r="F103" s="1024"/>
      <c r="G103" s="308"/>
      <c r="H103" s="958"/>
      <c r="I103" s="958"/>
      <c r="J103" s="958"/>
      <c r="K103" s="958"/>
      <c r="L103" s="958"/>
      <c r="M103" s="1025"/>
      <c r="N103" s="1024"/>
    </row>
    <row r="104" ht="13.55" customHeight="1">
      <c r="A104" s="27"/>
      <c r="B104" s="1024"/>
      <c r="C104" s="308"/>
      <c r="D104" s="958"/>
      <c r="E104" s="1025"/>
      <c r="F104" s="1024"/>
      <c r="G104" s="308"/>
      <c r="H104" s="958"/>
      <c r="I104" s="958"/>
      <c r="J104" s="958"/>
      <c r="K104" s="958"/>
      <c r="L104" s="958"/>
      <c r="M104" s="1025"/>
      <c r="N104" s="1024"/>
    </row>
    <row r="105" ht="13.55" customHeight="1">
      <c r="A105" s="27"/>
      <c r="B105" s="1024"/>
      <c r="C105" s="308"/>
      <c r="D105" s="958"/>
      <c r="E105" s="1025"/>
      <c r="F105" s="1024"/>
      <c r="G105" s="308"/>
      <c r="H105" s="958"/>
      <c r="I105" s="958"/>
      <c r="J105" s="958"/>
      <c r="K105" s="958"/>
      <c r="L105" s="958"/>
      <c r="M105" s="1025"/>
      <c r="N105" s="1024"/>
    </row>
    <row r="106" ht="15" customHeight="1">
      <c r="A106" s="1026"/>
      <c r="B106" s="1027"/>
      <c r="C106" s="316"/>
      <c r="D106" s="186"/>
      <c r="E106" s="187"/>
      <c r="F106" s="1027"/>
      <c r="G106" s="316"/>
      <c r="H106" s="186"/>
      <c r="I106" s="186"/>
      <c r="J106" s="186"/>
      <c r="K106" s="186"/>
      <c r="L106" s="186"/>
      <c r="M106" s="187"/>
      <c r="N106" s="1027"/>
    </row>
  </sheetData>
  <mergeCells count="11">
    <mergeCell ref="B1:N2"/>
    <mergeCell ref="B3:B5"/>
    <mergeCell ref="C3:F3"/>
    <mergeCell ref="G3:M3"/>
    <mergeCell ref="N3:N5"/>
    <mergeCell ref="C4:C5"/>
    <mergeCell ref="D4:D5"/>
    <mergeCell ref="E4:E5"/>
    <mergeCell ref="F4:F5"/>
    <mergeCell ref="L4:L5"/>
    <mergeCell ref="M4:M5"/>
  </mergeCells>
  <conditionalFormatting sqref="E91:E106">
    <cfRule type="cellIs" dxfId="226" priority="1" operator="equal" stopIfTrue="1">
      <formula>"Enhancement not possible"</formula>
    </cfRule>
  </conditionalFormatting>
  <pageMargins left="0.51" right="0.31" top="0.47" bottom="0.43" header="0.3" footer="0.3"/>
  <pageSetup firstPageNumber="1" fitToHeight="1" fitToWidth="1" scale="100" useFirstPageNumber="0" orientation="landscape" pageOrder="downThenOver"/>
  <headerFooter>
    <oddFooter>&amp;C&amp;"Helvetica Neue,Regular"&amp;12&amp;K000000&amp;P</oddFooter>
  </headerFooter>
</worksheet>
</file>

<file path=xl/worksheets/sheet12.xml><?xml version="1.0" encoding="utf-8"?>
<worksheet xmlns:r="http://schemas.openxmlformats.org/officeDocument/2006/relationships" xmlns="http://schemas.openxmlformats.org/spreadsheetml/2006/main">
  <sheetPr>
    <pageSetUpPr fitToPage="1"/>
  </sheetPr>
  <dimension ref="A1:AD412"/>
  <sheetViews>
    <sheetView workbookViewId="0" showGridLines="0" defaultGridColor="1"/>
  </sheetViews>
  <sheetFormatPr defaultColWidth="2.66667" defaultRowHeight="15" customHeight="1" outlineLevelRow="0" outlineLevelCol="0"/>
  <cols>
    <col min="1" max="1" width="25.3516" style="1028" customWidth="1"/>
    <col min="2" max="2" width="8.85156" style="1028" customWidth="1"/>
    <col min="3" max="3" width="42" style="1028" customWidth="1"/>
    <col min="4" max="4" width="18.8516" style="1028" customWidth="1"/>
    <col min="5" max="5" width="32.5" style="1028" customWidth="1"/>
    <col min="6" max="6" width="19.5" style="1028" customWidth="1"/>
    <col min="7" max="7" width="32" style="1028" customWidth="1"/>
    <col min="8" max="8" width="8.85156" style="1028" customWidth="1"/>
    <col min="9" max="9" width="82.5" style="1028" customWidth="1"/>
    <col min="10" max="10" width="13.8516" style="1028" customWidth="1"/>
    <col min="11" max="11" width="35.3516" style="1028" customWidth="1"/>
    <col min="12" max="12" width="8.85156" style="1028" customWidth="1"/>
    <col min="13" max="13" width="48.5" style="1028" customWidth="1"/>
    <col min="14" max="14" width="8.85156" style="1028" customWidth="1"/>
    <col min="15" max="15" width="33.5" style="1028" customWidth="1"/>
    <col min="16" max="16" width="8.85156" style="1028" customWidth="1"/>
    <col min="17" max="17" width="44" style="1028" customWidth="1"/>
    <col min="18" max="18" width="8.85156" style="1028" customWidth="1"/>
    <col min="19" max="19" width="35.6719" style="1028" customWidth="1"/>
    <col min="20" max="20" width="8.85156" style="1028" customWidth="1"/>
    <col min="21" max="21" width="61.5" style="1028" customWidth="1"/>
    <col min="22" max="22" width="12" style="1028" customWidth="1"/>
    <col min="23" max="23" width="81.6719" style="1028" customWidth="1"/>
    <col min="24" max="24" width="61.3516" style="1028" customWidth="1"/>
    <col min="25" max="25" width="47.8516" style="1028" customWidth="1"/>
    <col min="26" max="26" width="17" style="1028" customWidth="1"/>
    <col min="27" max="27" width="48.1719" style="1028" customWidth="1"/>
    <col min="28" max="28" width="17" style="1028" customWidth="1"/>
    <col min="29" max="29" width="48.1719" style="1028" customWidth="1"/>
    <col min="30" max="30" hidden="1" width="2.66667" style="1028" customWidth="1"/>
    <col min="31" max="16384" width="2.67188" style="1028" customWidth="1"/>
  </cols>
  <sheetData>
    <row r="1" ht="13.55" customHeight="1">
      <c r="A1" t="s" s="1029">
        <v>501</v>
      </c>
      <c r="B1" s="1030"/>
      <c r="C1" t="s" s="1029">
        <v>277</v>
      </c>
      <c r="D1" s="1030"/>
      <c r="E1" t="s" s="1029">
        <v>279</v>
      </c>
      <c r="F1" s="1030"/>
      <c r="G1" t="s" s="1029">
        <v>502</v>
      </c>
      <c r="H1" s="1030"/>
      <c r="I1" t="s" s="1029">
        <v>503</v>
      </c>
      <c r="J1" s="1030"/>
      <c r="K1" t="s" s="1029">
        <v>504</v>
      </c>
      <c r="L1" s="1030"/>
      <c r="M1" t="s" s="1029">
        <v>283</v>
      </c>
      <c r="N1" s="1030"/>
      <c r="O1" t="s" s="1029">
        <v>505</v>
      </c>
      <c r="P1" s="1030"/>
      <c r="Q1" t="s" s="1029">
        <v>136</v>
      </c>
      <c r="R1" s="1030"/>
      <c r="S1" t="s" s="1029">
        <v>506</v>
      </c>
      <c r="T1" s="1030"/>
      <c r="U1" t="s" s="1029">
        <v>507</v>
      </c>
      <c r="V1" s="1030"/>
      <c r="W1" t="s" s="1029">
        <v>508</v>
      </c>
      <c r="X1" s="1030"/>
      <c r="Y1" t="s" s="1029">
        <v>326</v>
      </c>
      <c r="Z1" s="1031"/>
      <c r="AA1" t="s" s="458">
        <v>509</v>
      </c>
      <c r="AB1" s="1032"/>
      <c r="AC1" t="s" s="458">
        <v>510</v>
      </c>
      <c r="AD1" s="1032"/>
    </row>
    <row r="2" ht="13.55" customHeight="1">
      <c r="A2" t="s" s="1033">
        <v>277</v>
      </c>
      <c r="B2" s="1034"/>
      <c r="C2" t="s" s="1035">
        <v>377</v>
      </c>
      <c r="D2" s="1036"/>
      <c r="E2" t="s" s="1033">
        <v>389</v>
      </c>
      <c r="F2" s="1037"/>
      <c r="G2" t="s" s="1033">
        <v>394</v>
      </c>
      <c r="H2" s="1037"/>
      <c r="I2" t="s" s="1033">
        <v>442</v>
      </c>
      <c r="J2" s="1037"/>
      <c r="K2" t="s" s="1033">
        <v>432</v>
      </c>
      <c r="L2" s="1037"/>
      <c r="M2" t="s" s="1033">
        <v>403</v>
      </c>
      <c r="N2" s="1037"/>
      <c r="O2" t="s" s="1033">
        <v>407</v>
      </c>
      <c r="P2" s="1037"/>
      <c r="Q2" t="s" s="1033">
        <v>410</v>
      </c>
      <c r="R2" s="1037"/>
      <c r="S2" t="s" s="1033">
        <v>428</v>
      </c>
      <c r="T2" s="1037"/>
      <c r="U2" t="s" s="1033">
        <v>307</v>
      </c>
      <c r="V2" s="1037"/>
      <c r="W2" t="s" s="1033">
        <v>314</v>
      </c>
      <c r="X2" s="1037"/>
      <c r="Y2" t="s" s="1033">
        <v>334</v>
      </c>
      <c r="Z2" s="1034"/>
      <c r="AA2" t="s" s="1035">
        <v>433</v>
      </c>
      <c r="AB2" s="1038"/>
      <c r="AC2" t="s" s="1039">
        <v>149</v>
      </c>
      <c r="AD2" s="210"/>
    </row>
    <row r="3" ht="13.55" customHeight="1">
      <c r="A3" t="s" s="1033">
        <v>279</v>
      </c>
      <c r="B3" s="1034"/>
      <c r="C3" t="s" s="1035">
        <v>379</v>
      </c>
      <c r="D3" s="1036"/>
      <c r="E3" t="s" s="1033">
        <v>390</v>
      </c>
      <c r="F3" s="1037"/>
      <c r="G3" t="s" s="1033">
        <v>395</v>
      </c>
      <c r="H3" s="1037"/>
      <c r="I3" t="s" s="1033">
        <v>443</v>
      </c>
      <c r="J3" s="1037"/>
      <c r="K3" t="s" s="1033">
        <v>434</v>
      </c>
      <c r="L3" s="1037"/>
      <c r="M3" t="s" s="1033">
        <v>405</v>
      </c>
      <c r="N3" s="1037"/>
      <c r="O3" t="s" s="1033">
        <v>408</v>
      </c>
      <c r="P3" s="1037"/>
      <c r="Q3" t="s" s="1033">
        <v>411</v>
      </c>
      <c r="R3" s="1037"/>
      <c r="S3" t="s" s="1033">
        <v>429</v>
      </c>
      <c r="T3" s="1037"/>
      <c r="U3" t="s" s="1033">
        <v>308</v>
      </c>
      <c r="V3" s="1037"/>
      <c r="W3" t="s" s="1033">
        <v>310</v>
      </c>
      <c r="X3" s="1037"/>
      <c r="Y3" t="s" s="1033">
        <v>336</v>
      </c>
      <c r="Z3" s="1034"/>
      <c r="AA3" s="1040"/>
      <c r="AB3" s="1041"/>
      <c r="AC3" s="1040"/>
      <c r="AD3" s="1041"/>
    </row>
    <row r="4" ht="13.55" customHeight="1">
      <c r="A4" t="s" s="1033">
        <v>280</v>
      </c>
      <c r="B4" s="1034"/>
      <c r="C4" t="s" s="1035">
        <v>380</v>
      </c>
      <c r="D4" s="1036"/>
      <c r="E4" t="s" s="1033">
        <v>391</v>
      </c>
      <c r="F4" s="1037"/>
      <c r="G4" t="s" s="1033">
        <v>396</v>
      </c>
      <c r="H4" s="1037"/>
      <c r="I4" t="s" s="1033">
        <v>444</v>
      </c>
      <c r="J4" s="1037"/>
      <c r="K4" t="s" s="1033">
        <v>435</v>
      </c>
      <c r="L4" s="1037"/>
      <c r="M4" t="s" s="1033">
        <v>406</v>
      </c>
      <c r="N4" s="1034"/>
      <c r="O4" t="s" s="1035">
        <v>409</v>
      </c>
      <c r="P4" s="1036"/>
      <c r="Q4" t="s" s="1033">
        <v>413</v>
      </c>
      <c r="R4" s="1037"/>
      <c r="S4" t="s" s="1033">
        <v>430</v>
      </c>
      <c r="T4" s="1037"/>
      <c r="U4" t="s" s="1033">
        <v>309</v>
      </c>
      <c r="V4" s="1037"/>
      <c r="W4" t="s" s="1033">
        <v>315</v>
      </c>
      <c r="X4" s="1037"/>
      <c r="Y4" t="s" s="1033">
        <v>335</v>
      </c>
      <c r="Z4" s="1034"/>
      <c r="AA4" s="1040"/>
      <c r="AB4" s="1041"/>
      <c r="AC4" s="1040"/>
      <c r="AD4" s="1041"/>
    </row>
    <row r="5" ht="13.55" customHeight="1">
      <c r="A5" t="s" s="1033">
        <v>281</v>
      </c>
      <c r="B5" s="1034"/>
      <c r="C5" t="s" s="1035">
        <v>381</v>
      </c>
      <c r="D5" s="1036"/>
      <c r="E5" t="s" s="1033">
        <v>392</v>
      </c>
      <c r="F5" s="1037"/>
      <c r="G5" t="s" s="1033">
        <v>397</v>
      </c>
      <c r="H5" s="1034"/>
      <c r="I5" s="1040"/>
      <c r="J5" s="1036"/>
      <c r="K5" t="s" s="1033">
        <v>436</v>
      </c>
      <c r="L5" s="1034"/>
      <c r="M5" s="1040"/>
      <c r="N5" s="1041"/>
      <c r="O5" s="1040"/>
      <c r="P5" s="1036"/>
      <c r="Q5" t="s" s="1033">
        <v>414</v>
      </c>
      <c r="R5" s="1037"/>
      <c r="S5" t="s" s="1033">
        <v>431</v>
      </c>
      <c r="T5" s="1037"/>
      <c r="U5" t="s" s="1033">
        <v>313</v>
      </c>
      <c r="V5" s="1037"/>
      <c r="W5" t="s" s="1033">
        <v>311</v>
      </c>
      <c r="X5" s="1037"/>
      <c r="Y5" s="1042"/>
      <c r="Z5" s="1034"/>
      <c r="AA5" s="1040"/>
      <c r="AB5" s="1041"/>
      <c r="AC5" s="1040"/>
      <c r="AD5" s="1041"/>
    </row>
    <row r="6" ht="13.55" customHeight="1">
      <c r="A6" t="s" s="1033">
        <v>282</v>
      </c>
      <c r="B6" s="1034"/>
      <c r="C6" t="s" s="1035">
        <v>382</v>
      </c>
      <c r="D6" s="1036"/>
      <c r="E6" t="s" s="1033">
        <v>393</v>
      </c>
      <c r="F6" s="1037"/>
      <c r="G6" t="s" s="1033">
        <v>398</v>
      </c>
      <c r="H6" s="1034"/>
      <c r="I6" s="1040"/>
      <c r="J6" s="1036"/>
      <c r="K6" t="s" s="1033">
        <v>437</v>
      </c>
      <c r="L6" s="1034"/>
      <c r="M6" s="1040"/>
      <c r="N6" s="1041"/>
      <c r="O6" s="1040"/>
      <c r="P6" s="1036"/>
      <c r="Q6" t="s" s="1033">
        <v>415</v>
      </c>
      <c r="R6" s="1034"/>
      <c r="S6" s="1040"/>
      <c r="T6" s="1036"/>
      <c r="U6" t="s" s="1033">
        <v>317</v>
      </c>
      <c r="V6" s="1034"/>
      <c r="W6" s="1040"/>
      <c r="X6" s="1036"/>
      <c r="Y6" s="1042"/>
      <c r="Z6" s="1034"/>
      <c r="AA6" s="1040"/>
      <c r="AB6" s="1041"/>
      <c r="AC6" s="1040"/>
      <c r="AD6" s="1041"/>
    </row>
    <row r="7" ht="13.55" customHeight="1">
      <c r="A7" t="s" s="1033">
        <v>283</v>
      </c>
      <c r="B7" s="1034"/>
      <c r="C7" t="s" s="1035">
        <v>384</v>
      </c>
      <c r="D7" s="1041"/>
      <c r="E7" s="1040"/>
      <c r="F7" s="1036"/>
      <c r="G7" t="s" s="1033">
        <v>399</v>
      </c>
      <c r="H7" s="1034"/>
      <c r="I7" s="1040"/>
      <c r="J7" s="1036"/>
      <c r="K7" t="s" s="1033">
        <v>438</v>
      </c>
      <c r="L7" s="1034"/>
      <c r="M7" s="1040"/>
      <c r="N7" s="1041"/>
      <c r="O7" s="1040"/>
      <c r="P7" s="1036"/>
      <c r="Q7" t="s" s="1033">
        <v>416</v>
      </c>
      <c r="R7" s="1034"/>
      <c r="S7" s="1040"/>
      <c r="T7" s="1036"/>
      <c r="U7" t="s" s="1033">
        <v>314</v>
      </c>
      <c r="V7" s="1034"/>
      <c r="W7" s="1040"/>
      <c r="X7" s="1036"/>
      <c r="Y7" s="1042"/>
      <c r="Z7" s="1034"/>
      <c r="AA7" s="1040"/>
      <c r="AB7" s="1041"/>
      <c r="AC7" s="1040"/>
      <c r="AD7" s="1041"/>
    </row>
    <row r="8" ht="13.55" customHeight="1">
      <c r="A8" t="s" s="1033">
        <v>284</v>
      </c>
      <c r="B8" s="1034"/>
      <c r="C8" t="s" s="1035">
        <v>385</v>
      </c>
      <c r="D8" s="1041"/>
      <c r="E8" s="1040"/>
      <c r="F8" s="1036"/>
      <c r="G8" t="s" s="1033">
        <v>400</v>
      </c>
      <c r="H8" s="1034"/>
      <c r="I8" s="1040"/>
      <c r="J8" s="1036"/>
      <c r="K8" t="s" s="1033">
        <v>439</v>
      </c>
      <c r="L8" s="1034"/>
      <c r="M8" s="1040"/>
      <c r="N8" s="1041"/>
      <c r="O8" s="1040"/>
      <c r="P8" s="1036"/>
      <c r="Q8" t="s" s="1033">
        <v>137</v>
      </c>
      <c r="R8" s="1034"/>
      <c r="S8" s="1040"/>
      <c r="T8" s="1036"/>
      <c r="U8" t="s" s="1033">
        <v>310</v>
      </c>
      <c r="V8" s="1034"/>
      <c r="W8" s="1040"/>
      <c r="X8" s="1036"/>
      <c r="Y8" s="1042"/>
      <c r="Z8" s="1034"/>
      <c r="AA8" s="1040"/>
      <c r="AB8" s="1041"/>
      <c r="AC8" s="1040"/>
      <c r="AD8" s="1041"/>
    </row>
    <row r="9" ht="13.55" customHeight="1">
      <c r="A9" t="s" s="1033">
        <v>136</v>
      </c>
      <c r="B9" s="1034"/>
      <c r="C9" t="s" s="1035">
        <v>386</v>
      </c>
      <c r="D9" s="1041"/>
      <c r="E9" s="1040"/>
      <c r="F9" s="1036"/>
      <c r="G9" t="s" s="1033">
        <v>401</v>
      </c>
      <c r="H9" s="1034"/>
      <c r="I9" s="1040"/>
      <c r="J9" s="1036"/>
      <c r="K9" t="s" s="1033">
        <v>440</v>
      </c>
      <c r="L9" s="1034"/>
      <c r="M9" s="1040"/>
      <c r="N9" s="1041"/>
      <c r="O9" s="1040"/>
      <c r="P9" s="1036"/>
      <c r="Q9" t="s" s="1033">
        <v>420</v>
      </c>
      <c r="R9" s="1034"/>
      <c r="S9" s="1040"/>
      <c r="T9" s="1036"/>
      <c r="U9" t="s" s="1033">
        <v>315</v>
      </c>
      <c r="V9" s="1034"/>
      <c r="W9" s="1040"/>
      <c r="X9" s="1036"/>
      <c r="Y9" s="1042"/>
      <c r="Z9" s="1034"/>
      <c r="AA9" s="1040"/>
      <c r="AB9" s="1041"/>
      <c r="AC9" s="1040"/>
      <c r="AD9" s="1041"/>
    </row>
    <row r="10" ht="13.55" customHeight="1">
      <c r="A10" t="s" s="1033">
        <v>285</v>
      </c>
      <c r="B10" s="1034"/>
      <c r="C10" t="s" s="1035">
        <v>387</v>
      </c>
      <c r="D10" s="1041"/>
      <c r="E10" s="1040"/>
      <c r="F10" s="1036"/>
      <c r="G10" t="s" s="1033">
        <v>402</v>
      </c>
      <c r="H10" s="1034"/>
      <c r="I10" s="1040"/>
      <c r="J10" s="1036"/>
      <c r="K10" t="s" s="1033">
        <v>441</v>
      </c>
      <c r="L10" s="1034"/>
      <c r="M10" s="1040"/>
      <c r="N10" s="1041"/>
      <c r="O10" s="1040"/>
      <c r="P10" s="1036"/>
      <c r="Q10" t="s" s="1033">
        <v>418</v>
      </c>
      <c r="R10" s="1034"/>
      <c r="S10" s="1040"/>
      <c r="T10" s="1036"/>
      <c r="U10" t="s" s="1033">
        <v>311</v>
      </c>
      <c r="V10" s="1034"/>
      <c r="W10" s="1040"/>
      <c r="X10" s="1036"/>
      <c r="Y10" s="1042"/>
      <c r="Z10" s="1034"/>
      <c r="AA10" s="1040"/>
      <c r="AB10" s="1041"/>
      <c r="AC10" s="1040"/>
      <c r="AD10" s="1041"/>
    </row>
    <row r="11" ht="13.65" customHeight="1">
      <c r="A11" t="s" s="1043">
        <v>286</v>
      </c>
      <c r="B11" s="1034"/>
      <c r="C11" t="s" s="1035">
        <v>388</v>
      </c>
      <c r="D11" s="1041"/>
      <c r="E11" s="1040"/>
      <c r="F11" s="1041"/>
      <c r="G11" s="1040"/>
      <c r="H11" s="1041"/>
      <c r="I11" s="1040"/>
      <c r="J11" s="1041"/>
      <c r="K11" s="1040"/>
      <c r="L11" s="1041"/>
      <c r="M11" s="1040"/>
      <c r="N11" s="1041"/>
      <c r="O11" s="1040"/>
      <c r="P11" s="1036"/>
      <c r="Q11" t="s" s="1033">
        <v>419</v>
      </c>
      <c r="R11" s="1034"/>
      <c r="S11" s="1040"/>
      <c r="T11" s="1041"/>
      <c r="U11" s="1040"/>
      <c r="V11" s="1041"/>
      <c r="W11" s="1040"/>
      <c r="X11" s="1036"/>
      <c r="Y11" s="1042"/>
      <c r="Z11" s="1034"/>
      <c r="AA11" s="1040"/>
      <c r="AB11" s="1041"/>
      <c r="AC11" s="1040"/>
      <c r="AD11" s="1041"/>
    </row>
    <row r="12" ht="13.55" customHeight="1">
      <c r="A12" s="1040"/>
      <c r="B12" s="1041"/>
      <c r="C12" s="1040"/>
      <c r="D12" s="1041"/>
      <c r="E12" s="1040"/>
      <c r="F12" s="1041"/>
      <c r="G12" s="1040"/>
      <c r="H12" s="1041"/>
      <c r="I12" s="1040"/>
      <c r="J12" s="1041"/>
      <c r="K12" s="1040"/>
      <c r="L12" s="1041"/>
      <c r="M12" s="1040"/>
      <c r="N12" s="1041"/>
      <c r="O12" s="1040"/>
      <c r="P12" s="1036"/>
      <c r="Q12" t="s" s="1033">
        <v>178</v>
      </c>
      <c r="R12" s="1034"/>
      <c r="S12" s="1040"/>
      <c r="T12" s="1041"/>
      <c r="U12" s="1040"/>
      <c r="V12" s="1041"/>
      <c r="W12" s="1040"/>
      <c r="X12" s="1041"/>
      <c r="Y12" s="1040"/>
      <c r="Z12" s="1041"/>
      <c r="AA12" s="1040"/>
      <c r="AB12" s="1041"/>
      <c r="AC12" s="1040"/>
      <c r="AD12" s="1041"/>
    </row>
    <row r="13" ht="13.55" customHeight="1">
      <c r="A13" s="1040"/>
      <c r="B13" s="1041"/>
      <c r="C13" s="1040"/>
      <c r="D13" s="1041"/>
      <c r="E13" s="1040"/>
      <c r="F13" s="1041"/>
      <c r="G13" s="1040"/>
      <c r="H13" s="1041"/>
      <c r="I13" s="1040"/>
      <c r="J13" s="1041"/>
      <c r="K13" s="1040"/>
      <c r="L13" s="1041"/>
      <c r="M13" s="1040"/>
      <c r="N13" s="1041"/>
      <c r="O13" s="1040"/>
      <c r="P13" s="1036"/>
      <c r="Q13" t="s" s="1033">
        <v>417</v>
      </c>
      <c r="R13" s="1034"/>
      <c r="S13" s="1040"/>
      <c r="T13" s="1041"/>
      <c r="U13" s="1040"/>
      <c r="V13" s="1041"/>
      <c r="W13" s="1040"/>
      <c r="X13" s="1041"/>
      <c r="Y13" s="1040"/>
      <c r="Z13" s="1041"/>
      <c r="AA13" s="1040"/>
      <c r="AB13" s="1041"/>
      <c r="AC13" s="1040"/>
      <c r="AD13" s="1041"/>
    </row>
    <row r="14" ht="13.55" customHeight="1">
      <c r="A14" s="1040"/>
      <c r="B14" s="1041"/>
      <c r="C14" s="1040"/>
      <c r="D14" s="1041"/>
      <c r="E14" s="1040"/>
      <c r="F14" s="1041"/>
      <c r="G14" s="1040"/>
      <c r="H14" s="1041"/>
      <c r="I14" s="1040"/>
      <c r="J14" s="1041"/>
      <c r="K14" s="1040"/>
      <c r="L14" s="1041"/>
      <c r="M14" s="1040"/>
      <c r="N14" s="1041"/>
      <c r="O14" s="1040"/>
      <c r="P14" s="1036"/>
      <c r="Q14" t="s" s="1033">
        <v>421</v>
      </c>
      <c r="R14" s="1034"/>
      <c r="S14" s="1040"/>
      <c r="T14" s="1041"/>
      <c r="U14" s="1040"/>
      <c r="V14" s="1041"/>
      <c r="W14" s="1040"/>
      <c r="X14" s="1041"/>
      <c r="Y14" s="1040"/>
      <c r="Z14" s="1041"/>
      <c r="AA14" s="1040"/>
      <c r="AB14" s="1041"/>
      <c r="AC14" s="1040"/>
      <c r="AD14" s="1041"/>
    </row>
    <row r="15" ht="13.55" customHeight="1">
      <c r="A15" s="1040"/>
      <c r="B15" s="1041"/>
      <c r="C15" s="1040"/>
      <c r="D15" s="1041"/>
      <c r="E15" s="1040"/>
      <c r="F15" s="1041"/>
      <c r="G15" s="1040"/>
      <c r="H15" s="1041"/>
      <c r="I15" s="1040"/>
      <c r="J15" s="1041"/>
      <c r="K15" s="1040"/>
      <c r="L15" s="1041"/>
      <c r="M15" s="1040"/>
      <c r="N15" s="1041"/>
      <c r="O15" s="1040"/>
      <c r="P15" s="1036"/>
      <c r="Q15" t="s" s="1033">
        <v>422</v>
      </c>
      <c r="R15" s="1034"/>
      <c r="S15" s="1040"/>
      <c r="T15" s="1041"/>
      <c r="U15" s="1040"/>
      <c r="V15" s="1041"/>
      <c r="W15" s="1040"/>
      <c r="X15" s="1041"/>
      <c r="Y15" s="1040"/>
      <c r="Z15" s="1041"/>
      <c r="AA15" s="1040"/>
      <c r="AB15" s="1041"/>
      <c r="AC15" s="1040"/>
      <c r="AD15" s="1041"/>
    </row>
    <row r="16" ht="13.55" customHeight="1">
      <c r="A16" s="1040"/>
      <c r="B16" s="1041"/>
      <c r="C16" s="1040"/>
      <c r="D16" s="1041"/>
      <c r="E16" s="1040"/>
      <c r="F16" s="1041"/>
      <c r="G16" s="1040"/>
      <c r="H16" s="1041"/>
      <c r="I16" s="1040"/>
      <c r="J16" s="1041"/>
      <c r="K16" s="1040"/>
      <c r="L16" s="1041"/>
      <c r="M16" s="1040"/>
      <c r="N16" s="1041"/>
      <c r="O16" s="1040"/>
      <c r="P16" s="1036"/>
      <c r="Q16" t="s" s="1033">
        <v>423</v>
      </c>
      <c r="R16" s="1034"/>
      <c r="S16" s="1040"/>
      <c r="T16" s="1041"/>
      <c r="U16" s="1040"/>
      <c r="V16" s="1041"/>
      <c r="W16" s="1040"/>
      <c r="X16" s="1041"/>
      <c r="Y16" s="1040"/>
      <c r="Z16" s="1041"/>
      <c r="AA16" s="1040"/>
      <c r="AB16" s="1041"/>
      <c r="AC16" s="1040"/>
      <c r="AD16" s="1041"/>
    </row>
    <row r="17" ht="13.55" customHeight="1">
      <c r="A17" s="1040"/>
      <c r="B17" s="1041"/>
      <c r="C17" s="1040"/>
      <c r="D17" s="1041"/>
      <c r="E17" s="1040"/>
      <c r="F17" s="1041"/>
      <c r="G17" s="1040"/>
      <c r="H17" s="1041"/>
      <c r="I17" s="1040"/>
      <c r="J17" s="1041"/>
      <c r="K17" s="1040"/>
      <c r="L17" s="1041"/>
      <c r="M17" s="1040"/>
      <c r="N17" s="1041"/>
      <c r="O17" s="1040"/>
      <c r="P17" s="1036"/>
      <c r="Q17" t="s" s="1033">
        <v>424</v>
      </c>
      <c r="R17" s="1034"/>
      <c r="S17" s="1040"/>
      <c r="T17" s="1041"/>
      <c r="U17" s="1040"/>
      <c r="V17" s="1041"/>
      <c r="W17" s="1040"/>
      <c r="X17" s="1041"/>
      <c r="Y17" s="1040"/>
      <c r="Z17" s="1041"/>
      <c r="AA17" s="1040"/>
      <c r="AB17" s="1041"/>
      <c r="AC17" s="1040"/>
      <c r="AD17" s="1041"/>
    </row>
    <row r="18" ht="13.55" customHeight="1">
      <c r="A18" s="1040"/>
      <c r="B18" s="1041"/>
      <c r="C18" s="1040"/>
      <c r="D18" s="1041"/>
      <c r="E18" s="1040"/>
      <c r="F18" s="1041"/>
      <c r="G18" s="1040"/>
      <c r="H18" s="1041"/>
      <c r="I18" s="1040"/>
      <c r="J18" s="1041"/>
      <c r="K18" s="1040"/>
      <c r="L18" s="1041"/>
      <c r="M18" s="1040"/>
      <c r="N18" s="1041"/>
      <c r="O18" s="1040"/>
      <c r="P18" s="1036"/>
      <c r="Q18" t="s" s="1033">
        <v>145</v>
      </c>
      <c r="R18" s="1034"/>
      <c r="S18" s="1040"/>
      <c r="T18" s="1041"/>
      <c r="U18" s="1040"/>
      <c r="V18" s="1041"/>
      <c r="W18" s="1040"/>
      <c r="X18" s="1041"/>
      <c r="Y18" s="1040"/>
      <c r="Z18" s="1041"/>
      <c r="AA18" s="1040"/>
      <c r="AB18" s="1041"/>
      <c r="AC18" s="1040"/>
      <c r="AD18" s="1041"/>
    </row>
    <row r="19" ht="13.55" customHeight="1">
      <c r="A19" s="1040"/>
      <c r="B19" s="1041"/>
      <c r="C19" s="1040"/>
      <c r="D19" s="1041"/>
      <c r="E19" s="1040"/>
      <c r="F19" s="1041"/>
      <c r="G19" s="1040"/>
      <c r="H19" s="1041"/>
      <c r="I19" s="1040"/>
      <c r="J19" s="1041"/>
      <c r="K19" s="1040"/>
      <c r="L19" s="1041"/>
      <c r="M19" s="1040"/>
      <c r="N19" s="1041"/>
      <c r="O19" s="1040"/>
      <c r="P19" s="1036"/>
      <c r="Q19" t="s" s="1033">
        <v>425</v>
      </c>
      <c r="R19" s="1034"/>
      <c r="S19" s="1040"/>
      <c r="T19" s="1041"/>
      <c r="U19" s="1040"/>
      <c r="V19" s="1041"/>
      <c r="W19" s="1040"/>
      <c r="X19" s="1041"/>
      <c r="Y19" s="1040"/>
      <c r="Z19" s="1041"/>
      <c r="AA19" s="1040"/>
      <c r="AB19" s="1041"/>
      <c r="AC19" s="1040"/>
      <c r="AD19" s="1041"/>
    </row>
    <row r="20" ht="13.55" customHeight="1">
      <c r="A20" s="1040"/>
      <c r="B20" s="1041"/>
      <c r="C20" s="1040"/>
      <c r="D20" s="1041"/>
      <c r="E20" s="1040"/>
      <c r="F20" s="1041"/>
      <c r="G20" s="1040"/>
      <c r="H20" s="1041"/>
      <c r="I20" s="1040"/>
      <c r="J20" s="1041"/>
      <c r="K20" s="1040"/>
      <c r="L20" s="1041"/>
      <c r="M20" s="1040"/>
      <c r="N20" s="1041"/>
      <c r="O20" s="1040"/>
      <c r="P20" s="1036"/>
      <c r="Q20" t="s" s="1033">
        <v>426</v>
      </c>
      <c r="R20" s="1034"/>
      <c r="S20" s="1040"/>
      <c r="T20" s="1041"/>
      <c r="U20" s="1040"/>
      <c r="V20" s="1041"/>
      <c r="W20" s="1040"/>
      <c r="X20" s="1041"/>
      <c r="Y20" s="1040"/>
      <c r="Z20" s="1041"/>
      <c r="AA20" s="1040"/>
      <c r="AB20" s="1041"/>
      <c r="AC20" s="1040"/>
      <c r="AD20" s="1041"/>
    </row>
    <row r="21" ht="13.55" customHeight="1">
      <c r="A21" s="1040"/>
      <c r="B21" s="1041"/>
      <c r="C21" s="1040"/>
      <c r="D21" s="1041"/>
      <c r="E21" s="1040"/>
      <c r="F21" s="1041"/>
      <c r="G21" s="1040"/>
      <c r="H21" s="1041"/>
      <c r="I21" s="1040"/>
      <c r="J21" s="1041"/>
      <c r="K21" s="1040"/>
      <c r="L21" s="1041"/>
      <c r="M21" s="1040"/>
      <c r="N21" s="1041"/>
      <c r="O21" s="1040"/>
      <c r="P21" s="1036"/>
      <c r="Q21" t="s" s="1033">
        <v>427</v>
      </c>
      <c r="R21" s="1034"/>
      <c r="S21" s="1040"/>
      <c r="T21" s="1041"/>
      <c r="U21" s="1040"/>
      <c r="V21" s="1041"/>
      <c r="W21" s="1040"/>
      <c r="X21" s="1041"/>
      <c r="Y21" s="1040"/>
      <c r="Z21" s="1041"/>
      <c r="AA21" s="1040"/>
      <c r="AB21" s="1041"/>
      <c r="AC21" s="1040"/>
      <c r="AD21" s="1041"/>
    </row>
    <row r="22" ht="13.55" customHeight="1">
      <c r="A22" s="1040"/>
      <c r="B22" s="1041"/>
      <c r="C22" s="1040"/>
      <c r="D22" s="1041"/>
      <c r="E22" s="1040"/>
      <c r="F22" s="1041"/>
      <c r="G22" s="1040"/>
      <c r="H22" s="1041"/>
      <c r="I22" s="1040"/>
      <c r="J22" s="1041"/>
      <c r="K22" s="1040"/>
      <c r="L22" s="1041"/>
      <c r="M22" s="1040"/>
      <c r="N22" s="1041"/>
      <c r="O22" s="1040"/>
      <c r="P22" s="1041"/>
      <c r="Q22" s="1040"/>
      <c r="R22" s="1041"/>
      <c r="S22" s="1040"/>
      <c r="T22" s="1041"/>
      <c r="U22" s="1040"/>
      <c r="V22" s="1041"/>
      <c r="W22" s="1040"/>
      <c r="X22" s="1041"/>
      <c r="Y22" s="1040"/>
      <c r="Z22" s="1041"/>
      <c r="AA22" s="1040"/>
      <c r="AB22" s="1041"/>
      <c r="AC22" s="1040"/>
      <c r="AD22" s="1041"/>
    </row>
    <row r="23" ht="13.55" customHeight="1">
      <c r="A23" s="1040"/>
      <c r="B23" s="1041"/>
      <c r="C23" s="1040"/>
      <c r="D23" s="1041"/>
      <c r="E23" s="1040"/>
      <c r="F23" s="1041"/>
      <c r="G23" s="1040"/>
      <c r="H23" s="1041"/>
      <c r="I23" s="1040"/>
      <c r="J23" s="1041"/>
      <c r="K23" s="1040"/>
      <c r="L23" s="1041"/>
      <c r="M23" s="1040"/>
      <c r="N23" s="1041"/>
      <c r="O23" s="1040"/>
      <c r="P23" s="1041"/>
      <c r="Q23" s="1040"/>
      <c r="R23" s="1041"/>
      <c r="S23" s="1040"/>
      <c r="T23" s="1041"/>
      <c r="U23" s="1040"/>
      <c r="V23" s="1041"/>
      <c r="W23" s="1040"/>
      <c r="X23" s="1041"/>
      <c r="Y23" s="1040"/>
      <c r="Z23" s="1041"/>
      <c r="AA23" s="1040"/>
      <c r="AB23" s="1041"/>
      <c r="AC23" s="1040"/>
      <c r="AD23" s="1041"/>
    </row>
    <row r="24" ht="13.55" customHeight="1">
      <c r="A24" s="1040"/>
      <c r="B24" s="1041"/>
      <c r="C24" s="1040"/>
      <c r="D24" s="1041"/>
      <c r="E24" s="1040"/>
      <c r="F24" s="1041"/>
      <c r="G24" s="1040"/>
      <c r="H24" s="1041"/>
      <c r="I24" s="1040"/>
      <c r="J24" s="1041"/>
      <c r="K24" s="1040"/>
      <c r="L24" s="1041"/>
      <c r="M24" s="1040"/>
      <c r="N24" s="1041"/>
      <c r="O24" s="1040"/>
      <c r="P24" s="1041"/>
      <c r="Q24" s="1040"/>
      <c r="R24" s="1041"/>
      <c r="S24" s="1040"/>
      <c r="T24" s="1041"/>
      <c r="U24" s="1040"/>
      <c r="V24" s="1041"/>
      <c r="W24" s="1040"/>
      <c r="X24" s="1041"/>
      <c r="Y24" s="1040"/>
      <c r="Z24" s="1041"/>
      <c r="AA24" s="1040"/>
      <c r="AB24" s="1041"/>
      <c r="AC24" s="1040"/>
      <c r="AD24" s="1041"/>
    </row>
    <row r="25" ht="13.55" customHeight="1">
      <c r="A25" s="1040"/>
      <c r="B25" s="1041"/>
      <c r="C25" s="1040"/>
      <c r="D25" s="1041"/>
      <c r="E25" s="1040"/>
      <c r="F25" s="1041"/>
      <c r="G25" s="1040"/>
      <c r="H25" s="1041"/>
      <c r="I25" s="1040"/>
      <c r="J25" s="1041"/>
      <c r="K25" s="1040"/>
      <c r="L25" s="1041"/>
      <c r="M25" s="1040"/>
      <c r="N25" s="1041"/>
      <c r="O25" s="1040"/>
      <c r="P25" s="1041"/>
      <c r="Q25" s="1040"/>
      <c r="R25" s="1041"/>
      <c r="S25" s="1040"/>
      <c r="T25" s="1041"/>
      <c r="U25" s="1040"/>
      <c r="V25" s="1041"/>
      <c r="W25" s="1040"/>
      <c r="X25" s="1041"/>
      <c r="Y25" s="1040"/>
      <c r="Z25" s="1041"/>
      <c r="AA25" s="1040"/>
      <c r="AB25" s="1041"/>
      <c r="AC25" s="1040"/>
      <c r="AD25" s="1041"/>
    </row>
    <row r="26" ht="13.55" customHeight="1">
      <c r="A26" s="1044"/>
      <c r="B26" s="11"/>
      <c r="C26" s="922"/>
      <c r="D26" s="11"/>
      <c r="E26" s="922"/>
      <c r="F26" s="11"/>
      <c r="G26" s="922"/>
      <c r="H26" s="11"/>
      <c r="I26" s="922"/>
      <c r="J26" s="11"/>
      <c r="K26" s="922"/>
      <c r="L26" s="11"/>
      <c r="M26" s="922"/>
      <c r="N26" s="11"/>
      <c r="O26" s="922"/>
      <c r="P26" s="11"/>
      <c r="Q26" s="922"/>
      <c r="R26" s="11"/>
      <c r="S26" s="922"/>
      <c r="T26" s="11"/>
      <c r="U26" s="922"/>
      <c r="V26" s="11"/>
      <c r="W26" s="922"/>
      <c r="X26" s="11"/>
      <c r="Y26" s="922"/>
      <c r="Z26" s="11"/>
      <c r="AA26" s="922"/>
      <c r="AB26" s="11"/>
      <c r="AC26" s="922"/>
      <c r="AD26" s="11"/>
    </row>
    <row r="27" ht="13.55" customHeight="1">
      <c r="A27" s="1045"/>
      <c r="B27" s="11"/>
      <c r="C27" s="1046"/>
      <c r="D27" s="11"/>
      <c r="E27" s="11"/>
      <c r="F27" s="11"/>
      <c r="G27" s="11"/>
      <c r="H27" s="11"/>
      <c r="I27" s="11"/>
      <c r="J27" s="11"/>
      <c r="K27" s="11"/>
      <c r="L27" s="11"/>
      <c r="M27" s="11"/>
      <c r="N27" s="11"/>
      <c r="O27" s="11"/>
      <c r="P27" s="11"/>
      <c r="Q27" s="11"/>
      <c r="R27" s="11"/>
      <c r="S27" s="11"/>
      <c r="T27" s="11"/>
      <c r="U27" s="11"/>
      <c r="V27" s="11"/>
      <c r="W27" s="11"/>
      <c r="X27" s="11"/>
      <c r="Y27" s="11"/>
      <c r="Z27" s="11"/>
      <c r="AA27" s="11"/>
      <c r="AB27" s="11"/>
      <c r="AC27" s="11"/>
      <c r="AD27" s="11"/>
    </row>
    <row r="28" ht="13.55" customHeight="1">
      <c r="A28" t="s" s="458">
        <v>445</v>
      </c>
      <c r="B28" s="1041"/>
      <c r="C28" t="s" s="458">
        <v>511</v>
      </c>
      <c r="D28" s="949"/>
      <c r="E28" s="11"/>
      <c r="F28" s="11"/>
      <c r="G28" s="11"/>
      <c r="H28" s="11"/>
      <c r="I28" s="11"/>
      <c r="J28" s="11"/>
      <c r="K28" s="11"/>
      <c r="L28" s="11"/>
      <c r="M28" s="11"/>
      <c r="N28" s="11"/>
      <c r="O28" s="11"/>
      <c r="P28" s="11"/>
      <c r="Q28" s="11"/>
      <c r="R28" s="11"/>
      <c r="S28" s="11"/>
      <c r="T28" s="11"/>
      <c r="U28" s="11"/>
      <c r="V28" s="11"/>
      <c r="W28" s="11"/>
      <c r="X28" s="11"/>
      <c r="Y28" s="11"/>
      <c r="Z28" s="11"/>
      <c r="AA28" s="11"/>
      <c r="AB28" s="11"/>
      <c r="AC28" s="11"/>
      <c r="AD28" s="11"/>
    </row>
    <row r="29" ht="13.55" customHeight="1">
      <c r="A29" t="s" s="960">
        <v>445</v>
      </c>
      <c r="B29" s="1041"/>
      <c r="C29" t="s" s="960">
        <v>299</v>
      </c>
      <c r="D29" s="949"/>
      <c r="E29" s="11"/>
      <c r="F29" s="11"/>
      <c r="G29" s="11"/>
      <c r="H29" s="11"/>
      <c r="I29" s="11"/>
      <c r="J29" s="11"/>
      <c r="K29" s="11"/>
      <c r="L29" s="11"/>
      <c r="M29" s="11"/>
      <c r="N29" s="11"/>
      <c r="O29" s="11"/>
      <c r="P29" s="11"/>
      <c r="Q29" s="11"/>
      <c r="R29" s="11"/>
      <c r="S29" s="11"/>
      <c r="T29" s="11"/>
      <c r="U29" s="11"/>
      <c r="V29" s="11"/>
      <c r="W29" s="11"/>
      <c r="X29" s="11"/>
      <c r="Y29" s="11"/>
      <c r="Z29" s="11"/>
      <c r="AA29" s="11"/>
      <c r="AB29" s="11"/>
      <c r="AC29" s="11"/>
      <c r="AD29" s="11"/>
    </row>
    <row r="30" ht="13.55" customHeight="1">
      <c r="A30" s="1044"/>
      <c r="B30" s="11"/>
      <c r="C30" s="922"/>
      <c r="D30" s="11"/>
      <c r="E30" s="11"/>
      <c r="F30" s="11"/>
      <c r="G30" s="11"/>
      <c r="H30" s="11"/>
      <c r="I30" s="11"/>
      <c r="J30" s="11"/>
      <c r="K30" s="11"/>
      <c r="L30" s="11"/>
      <c r="M30" s="11"/>
      <c r="N30" s="11"/>
      <c r="O30" s="11"/>
      <c r="P30" s="11"/>
      <c r="Q30" s="11"/>
      <c r="R30" s="11"/>
      <c r="S30" s="11"/>
      <c r="T30" s="11"/>
      <c r="U30" s="11"/>
      <c r="V30" s="11"/>
      <c r="W30" s="11"/>
      <c r="X30" s="11"/>
      <c r="Y30" s="11"/>
      <c r="Z30" s="11"/>
      <c r="AA30" s="11"/>
      <c r="AB30" s="11"/>
      <c r="AC30" s="11"/>
      <c r="AD30" s="11"/>
    </row>
    <row r="31" ht="13.55" customHeight="1">
      <c r="A31" s="10"/>
      <c r="B31" s="11"/>
      <c r="C31" s="11"/>
      <c r="D31" s="11"/>
      <c r="E31" s="11"/>
      <c r="F31" s="11"/>
      <c r="G31" s="11"/>
      <c r="H31" s="11"/>
      <c r="I31" s="11"/>
      <c r="J31" s="11"/>
      <c r="K31" s="11"/>
      <c r="L31" s="11"/>
      <c r="M31" s="11"/>
      <c r="N31" s="11"/>
      <c r="O31" s="11"/>
      <c r="P31" s="11"/>
      <c r="Q31" s="11"/>
      <c r="R31" s="11"/>
      <c r="S31" s="11"/>
      <c r="T31" s="11"/>
      <c r="U31" s="11"/>
      <c r="V31" s="11"/>
      <c r="W31" s="11"/>
      <c r="X31" s="11"/>
      <c r="Y31" s="11"/>
      <c r="Z31" s="11"/>
      <c r="AA31" s="11"/>
      <c r="AB31" s="11"/>
      <c r="AC31" s="11"/>
      <c r="AD31" s="11"/>
    </row>
    <row r="32" ht="13.55" customHeight="1">
      <c r="A32" s="1047"/>
      <c r="B32" s="1048"/>
      <c r="C32" s="1048"/>
      <c r="D32" s="1048"/>
      <c r="E32" s="1048"/>
      <c r="F32" s="1048"/>
      <c r="G32" s="1048"/>
      <c r="H32" s="1048"/>
      <c r="I32" s="1048"/>
      <c r="J32" s="1048"/>
      <c r="K32" s="1048"/>
      <c r="L32" s="1048"/>
      <c r="M32" s="1048"/>
      <c r="N32" s="1048"/>
      <c r="O32" s="1048"/>
      <c r="P32" s="1048"/>
      <c r="Q32" s="1048"/>
      <c r="R32" s="1048"/>
      <c r="S32" s="1048"/>
      <c r="T32" s="1048"/>
      <c r="U32" s="1048"/>
      <c r="V32" s="1048"/>
      <c r="W32" s="1048"/>
      <c r="X32" s="1048"/>
      <c r="Y32" s="1048"/>
      <c r="Z32" s="1048"/>
      <c r="AA32" s="1048"/>
      <c r="AB32" s="1048"/>
      <c r="AC32" s="1048"/>
      <c r="AD32" s="11"/>
    </row>
    <row r="33" ht="13.55" customHeight="1">
      <c r="A33" s="10"/>
      <c r="B33" s="1046"/>
      <c r="C33" s="1046"/>
      <c r="D33" s="1046"/>
      <c r="E33" s="11"/>
      <c r="F33" s="1046"/>
      <c r="G33" s="1046"/>
      <c r="H33" s="1046"/>
      <c r="I33" s="11"/>
      <c r="J33" t="s" s="1049">
        <v>512</v>
      </c>
      <c r="K33" s="1050"/>
      <c r="L33" s="11"/>
      <c r="M33" s="11"/>
      <c r="N33" s="11"/>
      <c r="O33" s="11"/>
      <c r="P33" s="11"/>
      <c r="Q33" s="11"/>
      <c r="R33" s="11"/>
      <c r="S33" s="11"/>
      <c r="T33" s="11"/>
      <c r="U33" s="11"/>
      <c r="V33" s="11"/>
      <c r="W33" s="11"/>
      <c r="X33" s="11"/>
      <c r="Y33" s="11"/>
      <c r="Z33" s="11"/>
      <c r="AA33" s="11"/>
      <c r="AB33" s="11"/>
      <c r="AC33" s="11"/>
      <c r="AD33" s="11"/>
    </row>
    <row r="34" ht="13.55" customHeight="1">
      <c r="A34" s="940"/>
      <c r="B34" t="s" s="1051">
        <v>376</v>
      </c>
      <c r="C34" s="1052"/>
      <c r="D34" s="1053"/>
      <c r="E34" s="1041"/>
      <c r="F34" t="s" s="1051">
        <v>513</v>
      </c>
      <c r="G34" s="1052"/>
      <c r="H34" s="1053"/>
      <c r="I34" s="1041"/>
      <c r="J34" t="s" s="458">
        <v>514</v>
      </c>
      <c r="K34" t="s" s="458">
        <v>515</v>
      </c>
      <c r="L34" s="949"/>
      <c r="M34" t="s" s="1054">
        <v>516</v>
      </c>
      <c r="N34" s="1055"/>
      <c r="O34" s="11"/>
      <c r="P34" s="11"/>
      <c r="Q34" t="s" s="1056">
        <v>517</v>
      </c>
      <c r="R34" s="1057"/>
      <c r="S34" s="1057"/>
      <c r="T34" s="1057"/>
      <c r="U34" s="11"/>
      <c r="V34" s="11"/>
      <c r="W34" s="1046"/>
      <c r="X34" s="1046"/>
      <c r="Y34" s="11"/>
      <c r="Z34" s="11"/>
      <c r="AA34" s="11"/>
      <c r="AB34" s="11"/>
      <c r="AC34" s="11"/>
      <c r="AD34" s="11"/>
    </row>
    <row r="35" ht="13.65" customHeight="1">
      <c r="A35" s="940"/>
      <c r="B35" t="s" s="270">
        <v>130</v>
      </c>
      <c r="C35" t="s" s="458">
        <v>518</v>
      </c>
      <c r="D35" t="s" s="458">
        <v>519</v>
      </c>
      <c r="E35" s="1041"/>
      <c r="F35" t="s" s="458">
        <v>518</v>
      </c>
      <c r="G35" t="s" s="270">
        <v>520</v>
      </c>
      <c r="H35" t="s" s="458">
        <v>521</v>
      </c>
      <c r="I35" s="1041"/>
      <c r="J35" t="s" s="960">
        <v>181</v>
      </c>
      <c r="K35" s="955">
        <v>1</v>
      </c>
      <c r="L35" s="1041"/>
      <c r="M35" t="s" s="458">
        <v>522</v>
      </c>
      <c r="N35" t="s" s="458">
        <v>521</v>
      </c>
      <c r="O35" s="949"/>
      <c r="P35" s="1058"/>
      <c r="Q35" t="s" s="458">
        <v>523</v>
      </c>
      <c r="R35" t="s" s="458">
        <v>524</v>
      </c>
      <c r="S35" t="s" s="458">
        <v>525</v>
      </c>
      <c r="T35" t="s" s="458">
        <v>526</v>
      </c>
      <c r="U35" s="949"/>
      <c r="V35" s="1058"/>
      <c r="W35" t="s" s="1059">
        <v>527</v>
      </c>
      <c r="X35" t="s" s="1060">
        <v>528</v>
      </c>
      <c r="Y35" s="949"/>
      <c r="Z35" s="11"/>
      <c r="AA35" s="11"/>
      <c r="AB35" s="11"/>
      <c r="AC35" s="11"/>
      <c r="AD35" s="11"/>
    </row>
    <row r="36" ht="43.5" customHeight="1">
      <c r="A36" s="940"/>
      <c r="B36" t="s" s="960">
        <v>404</v>
      </c>
      <c r="C36" t="s" s="960">
        <v>529</v>
      </c>
      <c r="D36" s="955">
        <v>1.15</v>
      </c>
      <c r="E36" s="1041"/>
      <c r="F36" t="s" s="960">
        <v>150</v>
      </c>
      <c r="G36" t="s" s="960">
        <v>530</v>
      </c>
      <c r="H36" s="955">
        <v>1.15</v>
      </c>
      <c r="I36" s="1041"/>
      <c r="J36" t="s" s="960">
        <v>151</v>
      </c>
      <c r="K36" s="955">
        <v>0.67</v>
      </c>
      <c r="L36" s="1041"/>
      <c r="M36" t="s" s="960">
        <v>531</v>
      </c>
      <c r="N36" s="1061">
        <v>1</v>
      </c>
      <c r="O36" s="949"/>
      <c r="P36" s="1058"/>
      <c r="Q36" t="s" s="956">
        <v>532</v>
      </c>
      <c r="R36" s="955">
        <v>0.3</v>
      </c>
      <c r="S36" s="955">
        <f>R36*12</f>
        <v>3.6</v>
      </c>
      <c r="T36" s="1062">
        <f>3.14*(S36*S36)/10000</f>
        <v>0.00406944</v>
      </c>
      <c r="U36" s="949"/>
      <c r="V36" s="1058"/>
      <c r="W36" t="s" s="1035">
        <v>533</v>
      </c>
      <c r="X36" t="s" s="1035">
        <v>534</v>
      </c>
      <c r="Y36" s="949"/>
      <c r="Z36" s="11"/>
      <c r="AA36" s="11"/>
      <c r="AB36" s="11"/>
      <c r="AC36" s="11"/>
      <c r="AD36" s="11"/>
    </row>
    <row r="37" ht="55.5" customHeight="1">
      <c r="A37" s="940"/>
      <c r="B37" t="s" s="960">
        <v>151</v>
      </c>
      <c r="C37" t="s" s="960">
        <v>535</v>
      </c>
      <c r="D37" s="955">
        <v>1.1</v>
      </c>
      <c r="E37" s="1041"/>
      <c r="F37" t="s" s="960">
        <v>138</v>
      </c>
      <c r="G37" t="s" s="960">
        <v>536</v>
      </c>
      <c r="H37" s="955">
        <v>1</v>
      </c>
      <c r="I37" s="1041"/>
      <c r="J37" t="s" s="960">
        <v>404</v>
      </c>
      <c r="K37" s="955">
        <v>0.33</v>
      </c>
      <c r="L37" s="1041"/>
      <c r="M37" t="s" s="960">
        <v>537</v>
      </c>
      <c r="N37" s="1061">
        <v>0.75</v>
      </c>
      <c r="O37" s="949"/>
      <c r="P37" s="1058"/>
      <c r="Q37" t="s" s="956">
        <v>151</v>
      </c>
      <c r="R37" s="955">
        <v>0.9</v>
      </c>
      <c r="S37" s="955">
        <f>R37*12</f>
        <v>10.8</v>
      </c>
      <c r="T37" s="1062">
        <f>3.14*(S37*S37)/10000</f>
        <v>0.03662496</v>
      </c>
      <c r="U37" s="949"/>
      <c r="V37" s="1058"/>
      <c r="W37" t="s" s="1035">
        <v>538</v>
      </c>
      <c r="X37" t="s" s="1035">
        <v>32</v>
      </c>
      <c r="Y37" s="949"/>
      <c r="Z37" s="11"/>
      <c r="AA37" s="11"/>
      <c r="AB37" s="11"/>
      <c r="AC37" s="11"/>
      <c r="AD37" s="11"/>
    </row>
    <row r="38" ht="29.1" customHeight="1">
      <c r="A38" s="940"/>
      <c r="B38" t="s" s="960">
        <v>181</v>
      </c>
      <c r="C38" t="s" s="960">
        <v>539</v>
      </c>
      <c r="D38" s="955">
        <v>1</v>
      </c>
      <c r="E38" s="1041"/>
      <c r="F38" s="314"/>
      <c r="G38" s="314"/>
      <c r="H38" s="958"/>
      <c r="I38" s="1041"/>
      <c r="J38" t="s" s="960">
        <v>540</v>
      </c>
      <c r="K38" s="955">
        <v>0.1</v>
      </c>
      <c r="L38" s="1041"/>
      <c r="M38" t="s" s="960">
        <v>541</v>
      </c>
      <c r="N38" s="1061">
        <v>0.5</v>
      </c>
      <c r="O38" s="949"/>
      <c r="P38" s="1058"/>
      <c r="Q38" t="s" s="956">
        <v>542</v>
      </c>
      <c r="R38" s="955">
        <v>1.3</v>
      </c>
      <c r="S38" s="955">
        <f>R38*12</f>
        <v>15.6</v>
      </c>
      <c r="T38" s="1062">
        <f>3.14*(S38*S38)/10000</f>
        <v>0.07641504</v>
      </c>
      <c r="U38" s="949"/>
      <c r="V38" s="1058"/>
      <c r="W38" t="s" s="1035">
        <v>543</v>
      </c>
      <c r="X38" t="s" s="1035">
        <v>544</v>
      </c>
      <c r="Y38" s="949"/>
      <c r="Z38" s="11"/>
      <c r="AA38" s="11"/>
      <c r="AB38" s="11"/>
      <c r="AC38" s="11"/>
      <c r="AD38" s="11"/>
    </row>
    <row r="39" ht="13.55" customHeight="1">
      <c r="A39" s="940"/>
      <c r="B39" t="s" s="960">
        <v>62</v>
      </c>
      <c r="C39" t="s" s="960">
        <v>545</v>
      </c>
      <c r="D39" s="955">
        <v>1</v>
      </c>
      <c r="E39" s="949"/>
      <c r="F39" s="922"/>
      <c r="G39" s="922"/>
      <c r="H39" s="922"/>
      <c r="I39" s="11"/>
      <c r="J39" s="922"/>
      <c r="K39" s="922"/>
      <c r="L39" s="11"/>
      <c r="M39" s="922"/>
      <c r="N39" s="922"/>
      <c r="O39" s="11"/>
      <c r="P39" s="11"/>
      <c r="Q39" s="922"/>
      <c r="R39" s="922"/>
      <c r="S39" s="922"/>
      <c r="T39" s="922"/>
      <c r="U39" s="11"/>
      <c r="V39" s="1058"/>
      <c r="W39" t="s" s="1035">
        <v>546</v>
      </c>
      <c r="X39" t="s" s="1035">
        <v>547</v>
      </c>
      <c r="Y39" s="949"/>
      <c r="Z39" s="11"/>
      <c r="AA39" s="11"/>
      <c r="AB39" s="11"/>
      <c r="AC39" s="11"/>
      <c r="AD39" s="11"/>
    </row>
    <row r="40" ht="13.55" customHeight="1">
      <c r="A40" s="10"/>
      <c r="B40" s="922"/>
      <c r="C40" s="922"/>
      <c r="D40" s="922"/>
      <c r="E40" s="11"/>
      <c r="F40" s="11"/>
      <c r="G40" s="11"/>
      <c r="H40" s="11"/>
      <c r="I40" s="11"/>
      <c r="J40" s="11"/>
      <c r="K40" s="11"/>
      <c r="L40" s="11"/>
      <c r="M40" s="11"/>
      <c r="N40" s="11"/>
      <c r="O40" s="11"/>
      <c r="P40" s="11"/>
      <c r="Q40" s="11"/>
      <c r="R40" s="11"/>
      <c r="S40" s="11"/>
      <c r="T40" s="11"/>
      <c r="U40" s="11"/>
      <c r="V40" s="1058"/>
      <c r="W40" t="s" s="1035">
        <v>548</v>
      </c>
      <c r="X40" t="s" s="1035">
        <v>549</v>
      </c>
      <c r="Y40" s="949"/>
      <c r="Z40" s="11"/>
      <c r="AA40" s="11"/>
      <c r="AB40" s="11"/>
      <c r="AC40" s="11"/>
      <c r="AD40" s="11"/>
    </row>
    <row r="41" ht="13.55" customHeight="1">
      <c r="A41" s="10"/>
      <c r="B41" s="11"/>
      <c r="C41" s="11"/>
      <c r="D41" s="11"/>
      <c r="E41" s="11"/>
      <c r="F41" s="11"/>
      <c r="G41" s="11"/>
      <c r="H41" s="11"/>
      <c r="I41" s="11"/>
      <c r="J41" s="11"/>
      <c r="K41" s="11"/>
      <c r="L41" s="11"/>
      <c r="M41" s="11"/>
      <c r="N41" s="11"/>
      <c r="O41" s="11"/>
      <c r="P41" s="11"/>
      <c r="Q41" s="11"/>
      <c r="R41" s="11"/>
      <c r="S41" s="11"/>
      <c r="T41" s="11"/>
      <c r="U41" s="11"/>
      <c r="V41" s="1058"/>
      <c r="W41" t="s" s="1035">
        <v>550</v>
      </c>
      <c r="X41" t="s" s="1035">
        <v>551</v>
      </c>
      <c r="Y41" s="949"/>
      <c r="Z41" s="11"/>
      <c r="AA41" s="11"/>
      <c r="AB41" s="11"/>
      <c r="AC41" s="11"/>
      <c r="AD41" s="11"/>
    </row>
    <row r="42" ht="13.55" customHeight="1">
      <c r="A42" s="10"/>
      <c r="B42" s="11"/>
      <c r="C42" s="11"/>
      <c r="D42" s="11"/>
      <c r="E42" s="11"/>
      <c r="F42" s="11"/>
      <c r="G42" s="11"/>
      <c r="H42" s="11"/>
      <c r="I42" s="11"/>
      <c r="J42" s="11"/>
      <c r="K42" s="11"/>
      <c r="L42" s="11"/>
      <c r="M42" s="11"/>
      <c r="N42" s="11"/>
      <c r="O42" s="11"/>
      <c r="P42" s="11"/>
      <c r="Q42" s="11"/>
      <c r="R42" s="11"/>
      <c r="S42" s="11"/>
      <c r="T42" s="11"/>
      <c r="U42" s="11"/>
      <c r="V42" s="1058"/>
      <c r="W42" t="s" s="1035">
        <v>552</v>
      </c>
      <c r="X42" s="1040"/>
      <c r="Y42" s="949"/>
      <c r="Z42" s="11"/>
      <c r="AA42" s="11"/>
      <c r="AB42" s="11"/>
      <c r="AC42" s="11"/>
      <c r="AD42" s="11"/>
    </row>
    <row r="43" ht="13.55" customHeight="1">
      <c r="A43" s="10"/>
      <c r="B43" s="11"/>
      <c r="C43" s="11"/>
      <c r="D43" s="11"/>
      <c r="E43" s="11"/>
      <c r="F43" s="11"/>
      <c r="G43" s="11"/>
      <c r="H43" s="11"/>
      <c r="I43" s="11"/>
      <c r="J43" s="11"/>
      <c r="K43" s="11"/>
      <c r="L43" s="11"/>
      <c r="M43" s="11"/>
      <c r="N43" s="11"/>
      <c r="O43" s="11"/>
      <c r="P43" s="11"/>
      <c r="Q43" s="11"/>
      <c r="R43" s="11"/>
      <c r="S43" s="11"/>
      <c r="T43" s="11"/>
      <c r="U43" s="11"/>
      <c r="V43" s="1058"/>
      <c r="W43" t="s" s="1035">
        <v>553</v>
      </c>
      <c r="X43" s="1040"/>
      <c r="Y43" s="949"/>
      <c r="Z43" s="11"/>
      <c r="AA43" s="11"/>
      <c r="AB43" s="11"/>
      <c r="AC43" s="11"/>
      <c r="AD43" s="11"/>
    </row>
    <row r="44" ht="13.55" customHeight="1">
      <c r="A44" s="10"/>
      <c r="B44" s="1046"/>
      <c r="C44" s="1046"/>
      <c r="D44" s="1046"/>
      <c r="E44" s="11"/>
      <c r="F44" s="1046"/>
      <c r="G44" s="1046"/>
      <c r="H44" s="11"/>
      <c r="I44" s="11"/>
      <c r="J44" s="11"/>
      <c r="K44" s="11"/>
      <c r="L44" s="11"/>
      <c r="M44" s="11"/>
      <c r="N44" s="11"/>
      <c r="O44" s="11"/>
      <c r="P44" s="11"/>
      <c r="Q44" s="11"/>
      <c r="R44" s="11"/>
      <c r="S44" s="1046"/>
      <c r="T44" s="1046"/>
      <c r="U44" s="1046"/>
      <c r="V44" s="1058"/>
      <c r="W44" t="s" s="1035">
        <v>554</v>
      </c>
      <c r="X44" s="1040"/>
      <c r="Y44" s="949"/>
      <c r="Z44" s="11"/>
      <c r="AA44" s="11"/>
      <c r="AB44" s="11"/>
      <c r="AC44" s="11"/>
      <c r="AD44" s="11"/>
    </row>
    <row r="45" ht="28.5" customHeight="1">
      <c r="A45" s="940"/>
      <c r="B45" t="s" s="1063">
        <v>555</v>
      </c>
      <c r="C45" s="1064"/>
      <c r="D45" s="1065"/>
      <c r="E45" s="1041"/>
      <c r="F45" t="s" s="1063">
        <v>556</v>
      </c>
      <c r="G45" s="1065"/>
      <c r="H45" s="949"/>
      <c r="I45" t="s" s="1066">
        <v>557</v>
      </c>
      <c r="J45" s="1067"/>
      <c r="K45" s="1067"/>
      <c r="L45" s="11"/>
      <c r="M45" t="s" s="1056">
        <v>148</v>
      </c>
      <c r="N45" s="1057"/>
      <c r="O45" s="1057"/>
      <c r="P45" s="1057"/>
      <c r="Q45" s="11"/>
      <c r="R45" s="1058"/>
      <c r="S45" t="s" s="1063">
        <v>558</v>
      </c>
      <c r="T45" s="1064"/>
      <c r="U45" s="1065"/>
      <c r="V45" s="1041"/>
      <c r="W45" t="s" s="1035">
        <v>559</v>
      </c>
      <c r="X45" s="1040"/>
      <c r="Y45" s="949"/>
      <c r="Z45" s="11"/>
      <c r="AA45" s="11"/>
      <c r="AB45" s="11"/>
      <c r="AC45" s="11"/>
      <c r="AD45" s="11"/>
    </row>
    <row r="46" ht="43.5" customHeight="1">
      <c r="A46" s="940"/>
      <c r="B46" t="s" s="270">
        <v>560</v>
      </c>
      <c r="C46" t="s" s="270">
        <v>561</v>
      </c>
      <c r="D46" t="s" s="270">
        <v>562</v>
      </c>
      <c r="E46" s="1041"/>
      <c r="F46" t="s" s="270">
        <v>563</v>
      </c>
      <c r="G46" t="s" s="270">
        <v>564</v>
      </c>
      <c r="H46" s="1041"/>
      <c r="I46" t="s" s="270">
        <v>565</v>
      </c>
      <c r="J46" t="s" s="270">
        <v>566</v>
      </c>
      <c r="K46" t="s" s="270">
        <v>567</v>
      </c>
      <c r="L46" s="1041"/>
      <c r="M46" t="s" s="458">
        <v>523</v>
      </c>
      <c r="N46" t="s" s="458">
        <v>524</v>
      </c>
      <c r="O46" t="s" s="458">
        <v>525</v>
      </c>
      <c r="P46" t="s" s="458">
        <v>568</v>
      </c>
      <c r="Q46" s="949"/>
      <c r="R46" s="1058"/>
      <c r="S46" t="s" s="270">
        <v>560</v>
      </c>
      <c r="T46" t="s" s="270">
        <v>561</v>
      </c>
      <c r="U46" t="s" s="270">
        <v>562</v>
      </c>
      <c r="V46" s="1041"/>
      <c r="W46" t="s" s="1035">
        <v>569</v>
      </c>
      <c r="X46" s="1040"/>
      <c r="Y46" s="949"/>
      <c r="Z46" s="11"/>
      <c r="AA46" s="11"/>
      <c r="AB46" s="11"/>
      <c r="AC46" s="11"/>
      <c r="AD46" s="11"/>
    </row>
    <row r="47" ht="57.95" customHeight="1">
      <c r="A47" s="940"/>
      <c r="B47" t="s" s="956">
        <v>151</v>
      </c>
      <c r="C47" s="955">
        <v>4</v>
      </c>
      <c r="D47" t="s" s="1068">
        <v>378</v>
      </c>
      <c r="E47" s="1041"/>
      <c r="F47" t="s" s="956">
        <v>463</v>
      </c>
      <c r="G47" s="955">
        <v>3</v>
      </c>
      <c r="H47" s="1041"/>
      <c r="I47" s="955">
        <v>0</v>
      </c>
      <c r="J47" s="955">
        <v>100</v>
      </c>
      <c r="K47" s="1069">
        <v>1</v>
      </c>
      <c r="L47" s="1041"/>
      <c r="M47" t="s" s="956">
        <v>532</v>
      </c>
      <c r="N47" s="955">
        <v>0.3</v>
      </c>
      <c r="O47" s="955">
        <f>N47*12</f>
        <v>3.6</v>
      </c>
      <c r="P47" s="1062">
        <f>3.14*(O47*O47)</f>
        <v>40.6944</v>
      </c>
      <c r="Q47" s="949"/>
      <c r="R47" s="1058"/>
      <c r="S47" t="s" s="956">
        <v>151</v>
      </c>
      <c r="T47" s="955">
        <v>4</v>
      </c>
      <c r="U47" t="s" s="960">
        <v>378</v>
      </c>
      <c r="V47" s="1041"/>
      <c r="W47" t="s" s="1035">
        <v>570</v>
      </c>
      <c r="X47" s="1040"/>
      <c r="Y47" s="949"/>
      <c r="Z47" s="11"/>
      <c r="AA47" s="11"/>
      <c r="AB47" s="11"/>
      <c r="AC47" s="11"/>
      <c r="AD47" s="11"/>
    </row>
    <row r="48" ht="43.5" customHeight="1">
      <c r="A48" s="940"/>
      <c r="B48" t="s" s="956">
        <v>181</v>
      </c>
      <c r="C48" s="955">
        <v>2</v>
      </c>
      <c r="D48" t="s" s="1068">
        <v>383</v>
      </c>
      <c r="E48" s="1041"/>
      <c r="F48" t="s" s="956">
        <v>182</v>
      </c>
      <c r="G48" s="955">
        <v>2</v>
      </c>
      <c r="H48" s="1041"/>
      <c r="I48" s="955">
        <v>1</v>
      </c>
      <c r="J48" s="955">
        <v>96.5</v>
      </c>
      <c r="K48" s="1069">
        <v>0.965</v>
      </c>
      <c r="L48" s="1041"/>
      <c r="M48" t="s" s="956">
        <v>151</v>
      </c>
      <c r="N48" s="955">
        <v>0.6</v>
      </c>
      <c r="O48" s="955">
        <v>7.2</v>
      </c>
      <c r="P48" s="1062">
        <f>3.14*(O48*O48)</f>
        <v>162.7776</v>
      </c>
      <c r="Q48" s="949"/>
      <c r="R48" s="1058"/>
      <c r="S48" t="s" s="956">
        <v>181</v>
      </c>
      <c r="T48" s="955">
        <v>2</v>
      </c>
      <c r="U48" t="s" s="960">
        <v>383</v>
      </c>
      <c r="V48" s="1041"/>
      <c r="W48" t="s" s="1035">
        <v>571</v>
      </c>
      <c r="X48" s="1040"/>
      <c r="Y48" s="949"/>
      <c r="Z48" s="11"/>
      <c r="AA48" s="11"/>
      <c r="AB48" s="11"/>
      <c r="AC48" s="11"/>
      <c r="AD48" s="11"/>
    </row>
    <row r="49" ht="29.1" customHeight="1">
      <c r="A49" s="940"/>
      <c r="B49" t="s" s="956">
        <v>139</v>
      </c>
      <c r="C49" s="955">
        <v>0</v>
      </c>
      <c r="D49" t="s" s="1068">
        <v>412</v>
      </c>
      <c r="E49" s="1041"/>
      <c r="F49" t="s" s="960">
        <v>464</v>
      </c>
      <c r="G49" s="955">
        <v>1</v>
      </c>
      <c r="H49" s="1041"/>
      <c r="I49" s="955">
        <v>2</v>
      </c>
      <c r="J49" s="955">
        <v>93.1225</v>
      </c>
      <c r="K49" s="1069">
        <v>0.931225</v>
      </c>
      <c r="L49" s="1041"/>
      <c r="M49" t="s" s="956">
        <v>542</v>
      </c>
      <c r="N49" s="955">
        <v>0.9</v>
      </c>
      <c r="O49" s="955">
        <v>10.8</v>
      </c>
      <c r="P49" s="1062">
        <f>3.14*(O49*O49)</f>
        <v>366.2496</v>
      </c>
      <c r="Q49" s="949"/>
      <c r="R49" s="1058"/>
      <c r="S49" t="s" s="956">
        <v>139</v>
      </c>
      <c r="T49" s="955">
        <v>1</v>
      </c>
      <c r="U49" t="s" s="960">
        <v>412</v>
      </c>
      <c r="V49" s="1041"/>
      <c r="W49" t="s" s="1035">
        <v>572</v>
      </c>
      <c r="X49" s="1040"/>
      <c r="Y49" s="949"/>
      <c r="Z49" s="11"/>
      <c r="AA49" s="11"/>
      <c r="AB49" s="11"/>
      <c r="AC49" s="11"/>
      <c r="AD49" s="11"/>
    </row>
    <row r="50" ht="57.95" customHeight="1">
      <c r="A50" s="940"/>
      <c r="B50" t="s" s="956">
        <v>404</v>
      </c>
      <c r="C50" s="955">
        <v>6</v>
      </c>
      <c r="D50" t="s" s="1068">
        <v>378</v>
      </c>
      <c r="E50" s="1041"/>
      <c r="F50" t="s" s="960">
        <v>180</v>
      </c>
      <c r="G50" s="955">
        <v>1</v>
      </c>
      <c r="H50" s="1041"/>
      <c r="I50" s="955">
        <v>3</v>
      </c>
      <c r="J50" s="955">
        <v>89.8632125</v>
      </c>
      <c r="K50" s="1069">
        <v>0.898632125</v>
      </c>
      <c r="L50" s="1041"/>
      <c r="M50" t="s" s="956">
        <v>573</v>
      </c>
      <c r="N50" s="955">
        <v>1.3</v>
      </c>
      <c r="O50" s="955">
        <v>15.6</v>
      </c>
      <c r="P50" s="1062">
        <f>3.14*(O50*O50)</f>
        <v>764.1504</v>
      </c>
      <c r="Q50" s="949"/>
      <c r="R50" s="1058"/>
      <c r="S50" t="s" s="956">
        <v>404</v>
      </c>
      <c r="T50" s="955">
        <v>6</v>
      </c>
      <c r="U50" t="s" s="960">
        <v>378</v>
      </c>
      <c r="V50" s="1041"/>
      <c r="W50" t="s" s="1035">
        <v>574</v>
      </c>
      <c r="X50" s="1040"/>
      <c r="Y50" s="949"/>
      <c r="Z50" s="11"/>
      <c r="AA50" s="11"/>
      <c r="AB50" s="11"/>
      <c r="AC50" s="11"/>
      <c r="AD50" s="11"/>
    </row>
    <row r="51" ht="13.55" customHeight="1">
      <c r="A51" s="10"/>
      <c r="B51" s="922"/>
      <c r="C51" s="922"/>
      <c r="D51" s="922"/>
      <c r="E51" s="1058"/>
      <c r="F51" t="s" s="956">
        <v>176</v>
      </c>
      <c r="G51" s="955">
        <v>0</v>
      </c>
      <c r="H51" s="1041"/>
      <c r="I51" s="955">
        <v>4</v>
      </c>
      <c r="J51" s="955">
        <v>86.71800005999999</v>
      </c>
      <c r="K51" s="1069">
        <v>0.8671800006</v>
      </c>
      <c r="L51" s="949"/>
      <c r="M51" s="922"/>
      <c r="N51" s="922"/>
      <c r="O51" s="922"/>
      <c r="P51" s="922"/>
      <c r="Q51" s="11"/>
      <c r="R51" s="11"/>
      <c r="S51" s="922"/>
      <c r="T51" s="922"/>
      <c r="U51" s="922"/>
      <c r="V51" s="1058"/>
      <c r="W51" t="s" s="1035">
        <v>575</v>
      </c>
      <c r="X51" s="1040"/>
      <c r="Y51" s="949"/>
      <c r="Z51" s="11"/>
      <c r="AA51" s="11"/>
      <c r="AB51" s="11"/>
      <c r="AC51" s="11"/>
      <c r="AD51" s="11"/>
    </row>
    <row r="52" ht="13.55" customHeight="1">
      <c r="A52" s="10"/>
      <c r="B52" s="11"/>
      <c r="C52" s="11"/>
      <c r="D52" s="11"/>
      <c r="E52" s="11"/>
      <c r="F52" s="922"/>
      <c r="G52" s="922"/>
      <c r="H52" s="1058"/>
      <c r="I52" s="955">
        <v>5</v>
      </c>
      <c r="J52" s="955">
        <v>83.68287006</v>
      </c>
      <c r="K52" s="1069">
        <v>0.8368287006</v>
      </c>
      <c r="L52" s="949"/>
      <c r="M52" s="11"/>
      <c r="N52" s="11"/>
      <c r="O52" s="11"/>
      <c r="P52" s="11"/>
      <c r="Q52" s="11"/>
      <c r="R52" s="11"/>
      <c r="S52" s="11"/>
      <c r="T52" s="11"/>
      <c r="U52" s="11"/>
      <c r="V52" s="1058"/>
      <c r="W52" t="s" s="1035">
        <v>576</v>
      </c>
      <c r="X52" s="1040"/>
      <c r="Y52" s="949"/>
      <c r="Z52" s="11"/>
      <c r="AA52" s="11"/>
      <c r="AB52" s="11"/>
      <c r="AC52" s="11"/>
      <c r="AD52" s="11"/>
    </row>
    <row r="53" ht="13.55" customHeight="1">
      <c r="A53" s="10"/>
      <c r="B53" s="11"/>
      <c r="C53" s="11"/>
      <c r="D53" s="11"/>
      <c r="E53" s="11"/>
      <c r="F53" s="11"/>
      <c r="G53" s="11"/>
      <c r="H53" s="1058"/>
      <c r="I53" s="955">
        <v>6</v>
      </c>
      <c r="J53" s="955">
        <v>80.75396961</v>
      </c>
      <c r="K53" s="1069">
        <v>0.8075396961</v>
      </c>
      <c r="L53" s="949"/>
      <c r="M53" s="11"/>
      <c r="N53" s="11"/>
      <c r="O53" s="11"/>
      <c r="P53" s="11"/>
      <c r="Q53" s="11"/>
      <c r="R53" s="11"/>
      <c r="S53" s="11"/>
      <c r="T53" s="11"/>
      <c r="U53" s="11"/>
      <c r="V53" s="1058"/>
      <c r="W53" t="s" s="1035">
        <v>577</v>
      </c>
      <c r="X53" s="1040"/>
      <c r="Y53" s="949"/>
      <c r="Z53" s="11"/>
      <c r="AA53" s="11"/>
      <c r="AB53" s="11"/>
      <c r="AC53" s="11"/>
      <c r="AD53" s="11"/>
    </row>
    <row r="54" ht="13.55" customHeight="1">
      <c r="A54" s="10"/>
      <c r="B54" s="11"/>
      <c r="C54" s="11"/>
      <c r="D54" s="11"/>
      <c r="E54" s="11"/>
      <c r="F54" s="11"/>
      <c r="G54" s="11"/>
      <c r="H54" s="1058"/>
      <c r="I54" s="955">
        <v>7</v>
      </c>
      <c r="J54" s="955">
        <v>77.92758067</v>
      </c>
      <c r="K54" s="1069">
        <v>0.7792758067</v>
      </c>
      <c r="L54" s="949"/>
      <c r="M54" s="11"/>
      <c r="N54" s="11"/>
      <c r="O54" s="11"/>
      <c r="P54" s="11"/>
      <c r="Q54" s="11"/>
      <c r="R54" s="11"/>
      <c r="S54" s="11"/>
      <c r="T54" s="11"/>
      <c r="U54" s="11"/>
      <c r="V54" s="1058"/>
      <c r="W54" t="s" s="1035">
        <v>578</v>
      </c>
      <c r="X54" s="1040"/>
      <c r="Y54" s="949"/>
      <c r="Z54" s="11"/>
      <c r="AA54" s="11"/>
      <c r="AB54" s="11"/>
      <c r="AC54" s="11"/>
      <c r="AD54" s="11"/>
    </row>
    <row r="55" ht="14.45" customHeight="1">
      <c r="A55" s="10"/>
      <c r="B55" s="11"/>
      <c r="C55" s="11"/>
      <c r="D55" s="11"/>
      <c r="E55" s="11"/>
      <c r="F55" s="11"/>
      <c r="G55" s="11"/>
      <c r="H55" s="1058"/>
      <c r="I55" s="955">
        <v>8</v>
      </c>
      <c r="J55" s="955">
        <v>75.20011535</v>
      </c>
      <c r="K55" s="1069">
        <v>0.7520011535</v>
      </c>
      <c r="L55" s="949"/>
      <c r="M55" s="11"/>
      <c r="N55" s="11"/>
      <c r="O55" s="11"/>
      <c r="P55" s="11"/>
      <c r="Q55" s="11"/>
      <c r="R55" s="11"/>
      <c r="S55" s="11"/>
      <c r="T55" s="11"/>
      <c r="U55" s="11"/>
      <c r="V55" s="1058"/>
      <c r="W55" t="s" s="1035">
        <v>579</v>
      </c>
      <c r="X55" s="1040"/>
      <c r="Y55" s="949"/>
      <c r="Z55" s="11"/>
      <c r="AA55" s="11"/>
      <c r="AB55" s="11"/>
      <c r="AC55" s="11"/>
      <c r="AD55" s="11"/>
    </row>
    <row r="56" ht="13.55" customHeight="1">
      <c r="A56" s="10"/>
      <c r="B56" s="11"/>
      <c r="C56" s="11"/>
      <c r="D56" s="11"/>
      <c r="E56" s="11"/>
      <c r="F56" s="11"/>
      <c r="G56" s="11"/>
      <c r="H56" s="1058"/>
      <c r="I56" s="955">
        <v>9</v>
      </c>
      <c r="J56" s="955">
        <v>72.56811131000001</v>
      </c>
      <c r="K56" s="1069">
        <v>0.7256811131000001</v>
      </c>
      <c r="L56" s="949"/>
      <c r="M56" s="11"/>
      <c r="N56" s="11"/>
      <c r="O56" s="11"/>
      <c r="P56" s="11"/>
      <c r="Q56" s="11"/>
      <c r="R56" s="11"/>
      <c r="S56" s="11"/>
      <c r="T56" s="11"/>
      <c r="U56" s="11"/>
      <c r="V56" s="1058"/>
      <c r="W56" t="s" s="1035">
        <v>580</v>
      </c>
      <c r="X56" s="1040"/>
      <c r="Y56" s="949"/>
      <c r="Z56" s="11"/>
      <c r="AA56" s="11"/>
      <c r="AB56" s="11"/>
      <c r="AC56" s="11"/>
      <c r="AD56" s="11"/>
    </row>
    <row r="57" ht="13.55" customHeight="1">
      <c r="A57" s="10"/>
      <c r="B57" s="11"/>
      <c r="C57" s="11"/>
      <c r="D57" s="11"/>
      <c r="E57" s="11"/>
      <c r="F57" s="11"/>
      <c r="G57" s="11"/>
      <c r="H57" s="1058"/>
      <c r="I57" s="955">
        <v>10</v>
      </c>
      <c r="J57" s="955">
        <v>70.02822741999999</v>
      </c>
      <c r="K57" s="1069">
        <v>0.7002822742</v>
      </c>
      <c r="L57" s="949"/>
      <c r="M57" s="11"/>
      <c r="N57" s="11"/>
      <c r="O57" s="11"/>
      <c r="P57" s="11"/>
      <c r="Q57" s="11"/>
      <c r="R57" s="11"/>
      <c r="S57" s="11"/>
      <c r="T57" s="11"/>
      <c r="U57" s="11"/>
      <c r="V57" s="1058"/>
      <c r="W57" t="s" s="1035">
        <v>581</v>
      </c>
      <c r="X57" s="1040"/>
      <c r="Y57" s="949"/>
      <c r="Z57" s="11"/>
      <c r="AA57" s="11"/>
      <c r="AB57" s="11"/>
      <c r="AC57" s="11"/>
      <c r="AD57" s="11"/>
    </row>
    <row r="58" ht="13.55" customHeight="1">
      <c r="A58" s="10"/>
      <c r="B58" s="11"/>
      <c r="C58" s="11"/>
      <c r="D58" s="11"/>
      <c r="E58" s="11"/>
      <c r="F58" s="11"/>
      <c r="G58" s="11"/>
      <c r="H58" s="1058"/>
      <c r="I58" s="955">
        <v>11</v>
      </c>
      <c r="J58" s="955">
        <v>67.57723946</v>
      </c>
      <c r="K58" s="1069">
        <v>0.6757723946</v>
      </c>
      <c r="L58" s="949"/>
      <c r="M58" s="11"/>
      <c r="N58" s="11"/>
      <c r="O58" s="11"/>
      <c r="P58" s="11"/>
      <c r="Q58" s="11"/>
      <c r="R58" s="11"/>
      <c r="S58" s="11"/>
      <c r="T58" s="11"/>
      <c r="U58" s="11"/>
      <c r="V58" s="1058"/>
      <c r="W58" t="s" s="1035">
        <v>582</v>
      </c>
      <c r="X58" s="1040"/>
      <c r="Y58" s="949"/>
      <c r="Z58" s="11"/>
      <c r="AA58" s="11"/>
      <c r="AB58" s="11"/>
      <c r="AC58" s="11"/>
      <c r="AD58" s="11"/>
    </row>
    <row r="59" ht="13.55" customHeight="1">
      <c r="A59" s="10"/>
      <c r="B59" s="11"/>
      <c r="C59" s="11"/>
      <c r="D59" s="11"/>
      <c r="E59" s="11"/>
      <c r="F59" s="11"/>
      <c r="G59" s="11"/>
      <c r="H59" s="1058"/>
      <c r="I59" s="955">
        <v>12</v>
      </c>
      <c r="J59" s="955">
        <v>65.21203607</v>
      </c>
      <c r="K59" s="1069">
        <v>0.6521203607</v>
      </c>
      <c r="L59" s="949"/>
      <c r="M59" s="11"/>
      <c r="N59" s="11"/>
      <c r="O59" s="11"/>
      <c r="P59" s="11"/>
      <c r="Q59" s="11"/>
      <c r="R59" s="11"/>
      <c r="S59" s="11"/>
      <c r="T59" s="11"/>
      <c r="U59" s="11"/>
      <c r="V59" s="1058"/>
      <c r="W59" t="s" s="1035">
        <v>583</v>
      </c>
      <c r="X59" s="1040"/>
      <c r="Y59" s="949"/>
      <c r="Z59" s="11"/>
      <c r="AA59" s="11"/>
      <c r="AB59" s="11"/>
      <c r="AC59" s="11"/>
      <c r="AD59" s="11"/>
    </row>
    <row r="60" ht="13.55" customHeight="1">
      <c r="A60" s="10"/>
      <c r="B60" s="11"/>
      <c r="C60" s="11"/>
      <c r="D60" s="11"/>
      <c r="E60" s="11"/>
      <c r="F60" s="11"/>
      <c r="G60" s="11"/>
      <c r="H60" s="1058"/>
      <c r="I60" s="955">
        <v>13</v>
      </c>
      <c r="J60" s="955">
        <v>62.92961481</v>
      </c>
      <c r="K60" s="1069">
        <v>0.6292961481</v>
      </c>
      <c r="L60" s="949"/>
      <c r="M60" s="11"/>
      <c r="N60" s="11"/>
      <c r="O60" s="11"/>
      <c r="P60" s="11"/>
      <c r="Q60" s="11"/>
      <c r="R60" s="11"/>
      <c r="S60" s="11"/>
      <c r="T60" s="11"/>
      <c r="U60" s="11"/>
      <c r="V60" s="1058"/>
      <c r="W60" t="s" s="1035">
        <v>584</v>
      </c>
      <c r="X60" s="1040"/>
      <c r="Y60" s="949"/>
      <c r="Z60" s="11"/>
      <c r="AA60" s="11"/>
      <c r="AB60" s="11"/>
      <c r="AC60" s="11"/>
      <c r="AD60" s="11"/>
    </row>
    <row r="61" ht="13.55" customHeight="1">
      <c r="A61" s="10"/>
      <c r="B61" s="11"/>
      <c r="C61" s="11"/>
      <c r="D61" s="11"/>
      <c r="E61" s="11"/>
      <c r="F61" s="11"/>
      <c r="G61" s="11"/>
      <c r="H61" s="1058"/>
      <c r="I61" s="955">
        <v>14</v>
      </c>
      <c r="J61" s="955">
        <v>60.72707829</v>
      </c>
      <c r="K61" s="1069">
        <v>0.6072707829</v>
      </c>
      <c r="L61" s="949"/>
      <c r="M61" s="11"/>
      <c r="N61" s="11"/>
      <c r="O61" s="11"/>
      <c r="P61" s="11"/>
      <c r="Q61" s="11"/>
      <c r="R61" s="11"/>
      <c r="S61" s="11"/>
      <c r="T61" s="11"/>
      <c r="U61" s="11"/>
      <c r="V61" s="1058"/>
      <c r="W61" t="s" s="1035">
        <v>585</v>
      </c>
      <c r="X61" s="1040"/>
      <c r="Y61" s="949"/>
      <c r="Z61" s="11"/>
      <c r="AA61" s="11"/>
      <c r="AB61" s="11"/>
      <c r="AC61" s="11"/>
      <c r="AD61" s="11"/>
    </row>
    <row r="62" ht="13.55" customHeight="1">
      <c r="A62" s="10"/>
      <c r="B62" s="11"/>
      <c r="C62" s="11"/>
      <c r="D62" s="11"/>
      <c r="E62" s="11"/>
      <c r="F62" s="11"/>
      <c r="G62" s="11"/>
      <c r="H62" s="1058"/>
      <c r="I62" s="955">
        <v>15</v>
      </c>
      <c r="J62" s="955">
        <v>58.60163055</v>
      </c>
      <c r="K62" s="1069">
        <v>0.5860163054999999</v>
      </c>
      <c r="L62" s="949"/>
      <c r="M62" s="11"/>
      <c r="N62" s="11"/>
      <c r="O62" s="11"/>
      <c r="P62" s="11"/>
      <c r="Q62" s="11"/>
      <c r="R62" s="11"/>
      <c r="S62" s="11"/>
      <c r="T62" s="11"/>
      <c r="U62" s="11"/>
      <c r="V62" s="1058"/>
      <c r="W62" t="s" s="1035">
        <v>586</v>
      </c>
      <c r="X62" s="1040"/>
      <c r="Y62" s="949"/>
      <c r="Z62" s="11"/>
      <c r="AA62" s="11"/>
      <c r="AB62" s="11"/>
      <c r="AC62" s="11"/>
      <c r="AD62" s="11"/>
    </row>
    <row r="63" ht="13.55" customHeight="1">
      <c r="A63" s="10"/>
      <c r="B63" s="11"/>
      <c r="C63" s="11"/>
      <c r="D63" s="11"/>
      <c r="E63" s="11"/>
      <c r="F63" s="11"/>
      <c r="G63" s="11"/>
      <c r="H63" s="1058"/>
      <c r="I63" s="955">
        <v>16</v>
      </c>
      <c r="J63" s="955">
        <v>56.55057348</v>
      </c>
      <c r="K63" s="1069">
        <v>0.5655057348</v>
      </c>
      <c r="L63" s="949"/>
      <c r="M63" s="11"/>
      <c r="N63" s="11"/>
      <c r="O63" s="11"/>
      <c r="P63" s="11"/>
      <c r="Q63" s="11"/>
      <c r="R63" s="11"/>
      <c r="S63" s="11"/>
      <c r="T63" s="11"/>
      <c r="U63" s="11"/>
      <c r="V63" s="1058"/>
      <c r="W63" t="s" s="1035">
        <v>587</v>
      </c>
      <c r="X63" s="1040"/>
      <c r="Y63" s="949"/>
      <c r="Z63" s="11"/>
      <c r="AA63" s="11"/>
      <c r="AB63" s="11"/>
      <c r="AC63" s="11"/>
      <c r="AD63" s="11"/>
    </row>
    <row r="64" ht="13.55" customHeight="1">
      <c r="A64" s="10"/>
      <c r="B64" s="11"/>
      <c r="C64" s="11"/>
      <c r="D64" s="11"/>
      <c r="E64" s="11"/>
      <c r="F64" s="11"/>
      <c r="G64" s="11"/>
      <c r="H64" s="1058"/>
      <c r="I64" s="955">
        <v>17</v>
      </c>
      <c r="J64" s="955">
        <v>54.57130341</v>
      </c>
      <c r="K64" s="1069">
        <v>0.5457130341</v>
      </c>
      <c r="L64" s="949"/>
      <c r="M64" s="11"/>
      <c r="N64" s="11"/>
      <c r="O64" s="11"/>
      <c r="P64" s="11"/>
      <c r="Q64" s="11"/>
      <c r="R64" s="11"/>
      <c r="S64" s="11"/>
      <c r="T64" s="11"/>
      <c r="U64" s="11"/>
      <c r="V64" s="1058"/>
      <c r="W64" t="s" s="1035">
        <v>588</v>
      </c>
      <c r="X64" s="1040"/>
      <c r="Y64" s="949"/>
      <c r="Z64" s="11"/>
      <c r="AA64" s="11"/>
      <c r="AB64" s="11"/>
      <c r="AC64" s="11"/>
      <c r="AD64" s="11"/>
    </row>
    <row r="65" ht="13.55" customHeight="1">
      <c r="A65" s="10"/>
      <c r="B65" s="11"/>
      <c r="C65" s="11"/>
      <c r="D65" s="11"/>
      <c r="E65" s="11"/>
      <c r="F65" s="11"/>
      <c r="G65" s="11"/>
      <c r="H65" s="1058"/>
      <c r="I65" s="955">
        <v>18</v>
      </c>
      <c r="J65" s="955">
        <v>52.66130779</v>
      </c>
      <c r="K65" s="1069">
        <v>0.5266130779</v>
      </c>
      <c r="L65" s="949"/>
      <c r="M65" s="11"/>
      <c r="N65" s="11"/>
      <c r="O65" s="11"/>
      <c r="P65" s="11"/>
      <c r="Q65" s="11"/>
      <c r="R65" s="11"/>
      <c r="S65" s="11"/>
      <c r="T65" s="11"/>
      <c r="U65" s="11"/>
      <c r="V65" s="1058"/>
      <c r="W65" t="s" s="1035">
        <v>589</v>
      </c>
      <c r="X65" s="1040"/>
      <c r="Y65" s="949"/>
      <c r="Z65" s="11"/>
      <c r="AA65" s="11"/>
      <c r="AB65" s="11"/>
      <c r="AC65" s="11"/>
      <c r="AD65" s="11"/>
    </row>
    <row r="66" ht="13.55" customHeight="1">
      <c r="A66" s="10"/>
      <c r="B66" s="11"/>
      <c r="C66" s="11"/>
      <c r="D66" s="11"/>
      <c r="E66" s="11"/>
      <c r="F66" s="11"/>
      <c r="G66" s="11"/>
      <c r="H66" s="1058"/>
      <c r="I66" s="955">
        <v>19</v>
      </c>
      <c r="J66" s="955">
        <v>50.81816202</v>
      </c>
      <c r="K66" s="1069">
        <v>0.5081816202</v>
      </c>
      <c r="L66" s="949"/>
      <c r="M66" s="11"/>
      <c r="N66" s="11"/>
      <c r="O66" s="11"/>
      <c r="P66" s="11"/>
      <c r="Q66" s="11"/>
      <c r="R66" s="11"/>
      <c r="S66" s="11"/>
      <c r="T66" s="11"/>
      <c r="U66" s="11"/>
      <c r="V66" s="1058"/>
      <c r="W66" t="s" s="1035">
        <v>590</v>
      </c>
      <c r="X66" s="1040"/>
      <c r="Y66" s="949"/>
      <c r="Z66" s="11"/>
      <c r="AA66" s="11"/>
      <c r="AB66" s="11"/>
      <c r="AC66" s="11"/>
      <c r="AD66" s="11"/>
    </row>
    <row r="67" ht="13.55" customHeight="1">
      <c r="A67" s="10"/>
      <c r="B67" s="11"/>
      <c r="C67" s="11"/>
      <c r="D67" s="11"/>
      <c r="E67" s="11"/>
      <c r="F67" s="11"/>
      <c r="G67" s="11"/>
      <c r="H67" s="1058"/>
      <c r="I67" s="955">
        <v>20</v>
      </c>
      <c r="J67" s="955">
        <v>49.03952635</v>
      </c>
      <c r="K67" s="1069">
        <v>0.4903952635</v>
      </c>
      <c r="L67" s="949"/>
      <c r="M67" s="11"/>
      <c r="N67" s="11"/>
      <c r="O67" s="11"/>
      <c r="P67" s="11"/>
      <c r="Q67" s="11"/>
      <c r="R67" s="11"/>
      <c r="S67" s="11"/>
      <c r="T67" s="11"/>
      <c r="U67" s="11"/>
      <c r="V67" s="1058"/>
      <c r="W67" t="s" s="1035">
        <v>591</v>
      </c>
      <c r="X67" s="1040"/>
      <c r="Y67" s="949"/>
      <c r="Z67" s="11"/>
      <c r="AA67" s="11"/>
      <c r="AB67" s="11"/>
      <c r="AC67" s="11"/>
      <c r="AD67" s="11"/>
    </row>
    <row r="68" ht="13.55" customHeight="1">
      <c r="A68" s="10"/>
      <c r="B68" s="11"/>
      <c r="C68" s="11"/>
      <c r="D68" s="11"/>
      <c r="E68" s="11"/>
      <c r="F68" s="11"/>
      <c r="G68" s="11"/>
      <c r="H68" s="1058"/>
      <c r="I68" s="955">
        <v>21</v>
      </c>
      <c r="J68" s="955">
        <v>47.32314293</v>
      </c>
      <c r="K68" s="1069">
        <v>0.4732314293</v>
      </c>
      <c r="L68" s="949"/>
      <c r="M68" s="11"/>
      <c r="N68" s="11"/>
      <c r="O68" s="11"/>
      <c r="P68" s="11"/>
      <c r="Q68" s="11"/>
      <c r="R68" s="11"/>
      <c r="S68" s="11"/>
      <c r="T68" s="11"/>
      <c r="U68" s="11"/>
      <c r="V68" s="1058"/>
      <c r="W68" t="s" s="1035">
        <v>592</v>
      </c>
      <c r="X68" s="1040"/>
      <c r="Y68" s="949"/>
      <c r="Z68" s="11"/>
      <c r="AA68" s="11"/>
      <c r="AB68" s="11"/>
      <c r="AC68" s="11"/>
      <c r="AD68" s="11"/>
    </row>
    <row r="69" ht="13.55" customHeight="1">
      <c r="A69" s="10"/>
      <c r="B69" s="11"/>
      <c r="C69" s="11"/>
      <c r="D69" s="11"/>
      <c r="E69" s="11"/>
      <c r="F69" s="11"/>
      <c r="G69" s="11"/>
      <c r="H69" s="1058"/>
      <c r="I69" s="955">
        <v>22</v>
      </c>
      <c r="J69" s="955">
        <v>45.66683292</v>
      </c>
      <c r="K69" s="1069">
        <v>0.4566683292</v>
      </c>
      <c r="L69" s="949"/>
      <c r="M69" s="11"/>
      <c r="N69" s="11"/>
      <c r="O69" s="11"/>
      <c r="P69" s="11"/>
      <c r="Q69" s="11"/>
      <c r="R69" s="11"/>
      <c r="S69" s="11"/>
      <c r="T69" s="11"/>
      <c r="U69" s="11"/>
      <c r="V69" s="1058"/>
      <c r="W69" t="s" s="1035">
        <v>593</v>
      </c>
      <c r="X69" s="1040"/>
      <c r="Y69" s="949"/>
      <c r="Z69" s="11"/>
      <c r="AA69" s="11"/>
      <c r="AB69" s="11"/>
      <c r="AC69" s="11"/>
      <c r="AD69" s="11"/>
    </row>
    <row r="70" ht="13.55" customHeight="1">
      <c r="A70" s="10"/>
      <c r="B70" s="11"/>
      <c r="C70" s="11"/>
      <c r="D70" s="11"/>
      <c r="E70" s="11"/>
      <c r="F70" s="11"/>
      <c r="G70" s="11"/>
      <c r="H70" s="1058"/>
      <c r="I70" s="955">
        <v>23</v>
      </c>
      <c r="J70" s="955">
        <v>44.06849377</v>
      </c>
      <c r="K70" s="1069">
        <v>0.4406849377</v>
      </c>
      <c r="L70" s="949"/>
      <c r="M70" s="11"/>
      <c r="N70" s="11"/>
      <c r="O70" s="11"/>
      <c r="P70" s="11"/>
      <c r="Q70" s="11"/>
      <c r="R70" s="11"/>
      <c r="S70" s="11"/>
      <c r="T70" s="11"/>
      <c r="U70" s="11"/>
      <c r="V70" s="1058"/>
      <c r="W70" t="s" s="1035">
        <v>594</v>
      </c>
      <c r="X70" s="1040"/>
      <c r="Y70" s="949"/>
      <c r="Z70" s="11"/>
      <c r="AA70" s="11"/>
      <c r="AB70" s="11"/>
      <c r="AC70" s="11"/>
      <c r="AD70" s="11"/>
    </row>
    <row r="71" ht="13.55" customHeight="1">
      <c r="A71" s="10"/>
      <c r="B71" s="11"/>
      <c r="C71" s="11"/>
      <c r="D71" s="11"/>
      <c r="E71" s="11"/>
      <c r="F71" s="11"/>
      <c r="G71" s="11"/>
      <c r="H71" s="1058"/>
      <c r="I71" s="955">
        <v>24</v>
      </c>
      <c r="J71" s="955">
        <v>42.52609649</v>
      </c>
      <c r="K71" s="1069">
        <v>0.4252609649</v>
      </c>
      <c r="L71" s="949"/>
      <c r="M71" s="11"/>
      <c r="N71" s="11"/>
      <c r="O71" s="11"/>
      <c r="P71" s="11"/>
      <c r="Q71" s="11"/>
      <c r="R71" s="11"/>
      <c r="S71" s="11"/>
      <c r="T71" s="11"/>
      <c r="U71" s="11"/>
      <c r="V71" s="1058"/>
      <c r="W71" t="s" s="1035">
        <v>595</v>
      </c>
      <c r="X71" s="1040"/>
      <c r="Y71" s="949"/>
      <c r="Z71" s="11"/>
      <c r="AA71" s="11"/>
      <c r="AB71" s="11"/>
      <c r="AC71" s="11"/>
      <c r="AD71" s="11"/>
    </row>
    <row r="72" ht="13.55" customHeight="1">
      <c r="A72" s="10"/>
      <c r="B72" s="11"/>
      <c r="C72" s="11"/>
      <c r="D72" s="11"/>
      <c r="E72" s="11"/>
      <c r="F72" s="11"/>
      <c r="G72" s="11"/>
      <c r="H72" s="1058"/>
      <c r="I72" s="955">
        <v>25</v>
      </c>
      <c r="J72" s="955">
        <v>41.03768311</v>
      </c>
      <c r="K72" s="1069">
        <v>0.4103768311</v>
      </c>
      <c r="L72" s="949"/>
      <c r="M72" s="11"/>
      <c r="N72" s="11"/>
      <c r="O72" s="11"/>
      <c r="P72" s="11"/>
      <c r="Q72" s="11"/>
      <c r="R72" s="11"/>
      <c r="S72" s="11"/>
      <c r="T72" s="11"/>
      <c r="U72" s="11"/>
      <c r="V72" s="1058"/>
      <c r="W72" t="s" s="1035">
        <v>596</v>
      </c>
      <c r="X72" s="1040"/>
      <c r="Y72" s="949"/>
      <c r="Z72" s="11"/>
      <c r="AA72" s="11"/>
      <c r="AB72" s="11"/>
      <c r="AC72" s="11"/>
      <c r="AD72" s="11"/>
    </row>
    <row r="73" ht="13.55" customHeight="1">
      <c r="A73" s="10"/>
      <c r="B73" s="11"/>
      <c r="C73" s="11"/>
      <c r="D73" s="11"/>
      <c r="E73" s="11"/>
      <c r="F73" s="11"/>
      <c r="G73" s="11"/>
      <c r="H73" s="1058"/>
      <c r="I73" s="955">
        <v>26</v>
      </c>
      <c r="J73" s="955">
        <v>39.6013642</v>
      </c>
      <c r="K73" s="1069">
        <v>0.396013642</v>
      </c>
      <c r="L73" s="949"/>
      <c r="M73" s="11"/>
      <c r="N73" s="11"/>
      <c r="O73" s="11"/>
      <c r="P73" s="11"/>
      <c r="Q73" s="11"/>
      <c r="R73" s="11"/>
      <c r="S73" s="11"/>
      <c r="T73" s="11"/>
      <c r="U73" s="11"/>
      <c r="V73" s="1058"/>
      <c r="W73" t="s" s="1035">
        <v>597</v>
      </c>
      <c r="X73" s="1040"/>
      <c r="Y73" s="949"/>
      <c r="Z73" s="11"/>
      <c r="AA73" s="11"/>
      <c r="AB73" s="11"/>
      <c r="AC73" s="11"/>
      <c r="AD73" s="11"/>
    </row>
    <row r="74" ht="13.55" customHeight="1">
      <c r="A74" s="10"/>
      <c r="B74" s="11"/>
      <c r="C74" s="11"/>
      <c r="D74" s="11"/>
      <c r="E74" s="11"/>
      <c r="F74" s="11"/>
      <c r="G74" s="11"/>
      <c r="H74" s="1058"/>
      <c r="I74" s="955">
        <v>27</v>
      </c>
      <c r="J74" s="955">
        <v>38.21531646</v>
      </c>
      <c r="K74" s="1069">
        <v>0.3821531646</v>
      </c>
      <c r="L74" s="949"/>
      <c r="M74" s="11"/>
      <c r="N74" s="11"/>
      <c r="O74" s="11"/>
      <c r="P74" s="11"/>
      <c r="Q74" s="11"/>
      <c r="R74" s="11"/>
      <c r="S74" s="11"/>
      <c r="T74" s="11"/>
      <c r="U74" s="11"/>
      <c r="V74" s="1058"/>
      <c r="W74" t="s" s="1035">
        <v>598</v>
      </c>
      <c r="X74" s="1040"/>
      <c r="Y74" s="949"/>
      <c r="Z74" s="11"/>
      <c r="AA74" s="11"/>
      <c r="AB74" s="11"/>
      <c r="AC74" s="11"/>
      <c r="AD74" s="11"/>
    </row>
    <row r="75" ht="13.55" customHeight="1">
      <c r="A75" s="10"/>
      <c r="B75" s="11"/>
      <c r="C75" s="11"/>
      <c r="D75" s="11"/>
      <c r="E75" s="11"/>
      <c r="F75" s="11"/>
      <c r="G75" s="11"/>
      <c r="H75" s="1058"/>
      <c r="I75" s="955">
        <v>28</v>
      </c>
      <c r="J75" s="955">
        <v>36.87778038</v>
      </c>
      <c r="K75" s="1069">
        <v>0.3687778038</v>
      </c>
      <c r="L75" s="949"/>
      <c r="M75" s="11"/>
      <c r="N75" s="11"/>
      <c r="O75" s="11"/>
      <c r="P75" s="11"/>
      <c r="Q75" s="11"/>
      <c r="R75" s="11"/>
      <c r="S75" s="11"/>
      <c r="T75" s="11"/>
      <c r="U75" s="11"/>
      <c r="V75" s="1058"/>
      <c r="W75" t="s" s="1035">
        <v>599</v>
      </c>
      <c r="X75" s="1040"/>
      <c r="Y75" s="949"/>
      <c r="Z75" s="11"/>
      <c r="AA75" s="11"/>
      <c r="AB75" s="11"/>
      <c r="AC75" s="11"/>
      <c r="AD75" s="11"/>
    </row>
    <row r="76" ht="13.55" customHeight="1">
      <c r="A76" s="10"/>
      <c r="B76" s="11"/>
      <c r="C76" s="11"/>
      <c r="D76" s="11"/>
      <c r="E76" s="11"/>
      <c r="F76" s="11"/>
      <c r="G76" s="11"/>
      <c r="H76" s="1058"/>
      <c r="I76" s="955">
        <v>29</v>
      </c>
      <c r="J76" s="955">
        <v>35.58705807</v>
      </c>
      <c r="K76" s="1069">
        <v>0.3558705807</v>
      </c>
      <c r="L76" s="949"/>
      <c r="M76" s="11"/>
      <c r="N76" s="11"/>
      <c r="O76" s="11"/>
      <c r="P76" s="11"/>
      <c r="Q76" s="11"/>
      <c r="R76" s="11"/>
      <c r="S76" s="11"/>
      <c r="T76" s="11"/>
      <c r="U76" s="11"/>
      <c r="V76" s="1058"/>
      <c r="W76" t="s" s="1035">
        <v>600</v>
      </c>
      <c r="X76" s="1040"/>
      <c r="Y76" s="949"/>
      <c r="Z76" s="11"/>
      <c r="AA76" s="11"/>
      <c r="AB76" s="11"/>
      <c r="AC76" s="11"/>
      <c r="AD76" s="11"/>
    </row>
    <row r="77" ht="13.55" customHeight="1">
      <c r="A77" s="10"/>
      <c r="B77" s="11"/>
      <c r="C77" s="11"/>
      <c r="D77" s="11"/>
      <c r="E77" s="11"/>
      <c r="F77" s="11"/>
      <c r="G77" s="11"/>
      <c r="H77" s="1058"/>
      <c r="I77" s="955">
        <v>30</v>
      </c>
      <c r="J77" s="955">
        <v>34.34151104</v>
      </c>
      <c r="K77" s="1069">
        <v>0.3434151104</v>
      </c>
      <c r="L77" s="949"/>
      <c r="M77" s="11"/>
      <c r="N77" s="11"/>
      <c r="O77" s="11"/>
      <c r="P77" s="11"/>
      <c r="Q77" s="11"/>
      <c r="R77" s="11"/>
      <c r="S77" s="11"/>
      <c r="T77" s="11"/>
      <c r="U77" s="11"/>
      <c r="V77" s="1058"/>
      <c r="W77" t="s" s="1035">
        <v>601</v>
      </c>
      <c r="X77" s="1040"/>
      <c r="Y77" s="949"/>
      <c r="Z77" s="11"/>
      <c r="AA77" s="11"/>
      <c r="AB77" s="11"/>
      <c r="AC77" s="11"/>
      <c r="AD77" s="11"/>
    </row>
    <row r="78" ht="13.55" customHeight="1">
      <c r="A78" s="10"/>
      <c r="B78" s="11"/>
      <c r="C78" s="11"/>
      <c r="D78" s="11"/>
      <c r="E78" s="11"/>
      <c r="F78" s="11"/>
      <c r="G78" s="11"/>
      <c r="H78" s="1058"/>
      <c r="I78" s="955">
        <v>31</v>
      </c>
      <c r="J78" s="955">
        <v>33.13955815</v>
      </c>
      <c r="K78" s="1069">
        <v>0.3313955815</v>
      </c>
      <c r="L78" s="949"/>
      <c r="M78" s="11"/>
      <c r="N78" s="11"/>
      <c r="O78" s="11"/>
      <c r="P78" s="11"/>
      <c r="Q78" s="11"/>
      <c r="R78" s="11"/>
      <c r="S78" s="11"/>
      <c r="T78" s="11"/>
      <c r="U78" s="11"/>
      <c r="V78" s="1058"/>
      <c r="W78" t="s" s="1035">
        <v>602</v>
      </c>
      <c r="X78" s="1040"/>
      <c r="Y78" s="949"/>
      <c r="Z78" s="11"/>
      <c r="AA78" s="11"/>
      <c r="AB78" s="11"/>
      <c r="AC78" s="11"/>
      <c r="AD78" s="11"/>
    </row>
    <row r="79" ht="13.55" customHeight="1">
      <c r="A79" s="10"/>
      <c r="B79" s="11"/>
      <c r="C79" s="11"/>
      <c r="D79" s="11"/>
      <c r="E79" s="11"/>
      <c r="F79" s="11"/>
      <c r="G79" s="11"/>
      <c r="H79" s="1058"/>
      <c r="I79" t="s" s="956">
        <v>483</v>
      </c>
      <c r="J79" s="1070">
        <v>31.97967361</v>
      </c>
      <c r="K79" s="1069">
        <v>0.3197967361</v>
      </c>
      <c r="L79" s="949"/>
      <c r="M79" s="11"/>
      <c r="N79" s="11"/>
      <c r="O79" s="11"/>
      <c r="P79" s="11"/>
      <c r="Q79" s="11"/>
      <c r="R79" s="11"/>
      <c r="S79" s="11"/>
      <c r="T79" s="11"/>
      <c r="U79" s="11"/>
      <c r="V79" s="1058"/>
      <c r="W79" t="s" s="1035">
        <v>603</v>
      </c>
      <c r="X79" s="1040"/>
      <c r="Y79" s="949"/>
      <c r="Z79" s="11"/>
      <c r="AA79" s="11"/>
      <c r="AB79" s="11"/>
      <c r="AC79" s="11"/>
      <c r="AD79" s="11"/>
    </row>
    <row r="80" ht="13.55" customHeight="1">
      <c r="A80" s="10"/>
      <c r="B80" s="11"/>
      <c r="C80" s="11"/>
      <c r="D80" s="11"/>
      <c r="E80" s="11"/>
      <c r="F80" s="11"/>
      <c r="G80" s="11"/>
      <c r="H80" s="1058"/>
      <c r="I80" t="s" s="960">
        <v>466</v>
      </c>
      <c r="J80" t="s" s="960">
        <v>62</v>
      </c>
      <c r="K80" t="s" s="960">
        <v>62</v>
      </c>
      <c r="L80" s="949"/>
      <c r="M80" s="11"/>
      <c r="N80" s="11"/>
      <c r="O80" s="11"/>
      <c r="P80" s="11"/>
      <c r="Q80" s="11"/>
      <c r="R80" s="11"/>
      <c r="S80" s="11"/>
      <c r="T80" s="11"/>
      <c r="U80" s="11"/>
      <c r="V80" s="1058"/>
      <c r="W80" t="s" s="1035">
        <v>604</v>
      </c>
      <c r="X80" s="1040"/>
      <c r="Y80" s="949"/>
      <c r="Z80" s="11"/>
      <c r="AA80" s="11"/>
      <c r="AB80" s="11"/>
      <c r="AC80" s="11"/>
      <c r="AD80" s="11"/>
    </row>
    <row r="81" ht="13.55" customHeight="1">
      <c r="A81" s="10"/>
      <c r="B81" s="11"/>
      <c r="C81" s="11"/>
      <c r="D81" s="11"/>
      <c r="E81" s="11"/>
      <c r="F81" s="11"/>
      <c r="G81" s="11"/>
      <c r="H81" s="11"/>
      <c r="I81" s="922"/>
      <c r="J81" s="922"/>
      <c r="K81" s="922"/>
      <c r="L81" s="11"/>
      <c r="M81" s="11"/>
      <c r="N81" s="11"/>
      <c r="O81" s="11"/>
      <c r="P81" s="11"/>
      <c r="Q81" s="11"/>
      <c r="R81" s="11"/>
      <c r="S81" s="11"/>
      <c r="T81" s="11"/>
      <c r="U81" s="11"/>
      <c r="V81" s="1058"/>
      <c r="W81" t="s" s="1035">
        <v>605</v>
      </c>
      <c r="X81" s="1040"/>
      <c r="Y81" s="949"/>
      <c r="Z81" s="11"/>
      <c r="AA81" s="11"/>
      <c r="AB81" s="11"/>
      <c r="AC81" s="11"/>
      <c r="AD81" s="11"/>
    </row>
    <row r="82" ht="13.55" customHeight="1">
      <c r="A82" s="10"/>
      <c r="B82" s="11"/>
      <c r="C82" s="11"/>
      <c r="D82" s="11"/>
      <c r="E82" s="11"/>
      <c r="F82" s="11"/>
      <c r="G82" s="11"/>
      <c r="H82" s="11"/>
      <c r="I82" s="11"/>
      <c r="J82" s="11"/>
      <c r="K82" s="11"/>
      <c r="L82" s="11"/>
      <c r="M82" s="11"/>
      <c r="N82" s="11"/>
      <c r="O82" s="11"/>
      <c r="P82" s="11"/>
      <c r="Q82" s="11"/>
      <c r="R82" s="11"/>
      <c r="S82" s="11"/>
      <c r="T82" s="11"/>
      <c r="U82" s="11"/>
      <c r="V82" s="1058"/>
      <c r="W82" t="s" s="1035">
        <v>606</v>
      </c>
      <c r="X82" s="1040"/>
      <c r="Y82" s="949"/>
      <c r="Z82" s="11"/>
      <c r="AA82" s="11"/>
      <c r="AB82" s="11"/>
      <c r="AC82" s="11"/>
      <c r="AD82" s="11"/>
    </row>
    <row r="83" ht="13.55" customHeight="1">
      <c r="A83" s="10"/>
      <c r="B83" s="11"/>
      <c r="C83" s="11"/>
      <c r="D83" s="11"/>
      <c r="E83" s="11"/>
      <c r="F83" s="11"/>
      <c r="G83" s="11"/>
      <c r="H83" s="11"/>
      <c r="I83" s="11"/>
      <c r="J83" s="11"/>
      <c r="K83" s="11"/>
      <c r="L83" s="11"/>
      <c r="M83" s="11"/>
      <c r="N83" s="11"/>
      <c r="O83" s="11"/>
      <c r="P83" s="11"/>
      <c r="Q83" s="11"/>
      <c r="R83" s="11"/>
      <c r="S83" s="11"/>
      <c r="T83" s="11"/>
      <c r="U83" s="11"/>
      <c r="V83" s="1058"/>
      <c r="W83" t="s" s="1035">
        <v>607</v>
      </c>
      <c r="X83" s="1040"/>
      <c r="Y83" s="949"/>
      <c r="Z83" s="11"/>
      <c r="AA83" s="11"/>
      <c r="AB83" s="11"/>
      <c r="AC83" s="11"/>
      <c r="AD83" s="11"/>
    </row>
    <row r="84" ht="13.55" customHeight="1">
      <c r="A84" s="10"/>
      <c r="B84" s="11"/>
      <c r="C84" s="11"/>
      <c r="D84" s="11"/>
      <c r="E84" s="11"/>
      <c r="F84" s="11"/>
      <c r="G84" s="11"/>
      <c r="H84" s="11"/>
      <c r="I84" s="11"/>
      <c r="J84" s="11"/>
      <c r="K84" s="11"/>
      <c r="L84" s="11"/>
      <c r="M84" s="11"/>
      <c r="N84" s="11"/>
      <c r="O84" s="11"/>
      <c r="P84" s="11"/>
      <c r="Q84" s="11"/>
      <c r="R84" s="11"/>
      <c r="S84" s="11"/>
      <c r="T84" s="11"/>
      <c r="U84" s="11"/>
      <c r="V84" s="1058"/>
      <c r="W84" t="s" s="1035">
        <v>608</v>
      </c>
      <c r="X84" s="1040"/>
      <c r="Y84" s="949"/>
      <c r="Z84" s="11"/>
      <c r="AA84" s="11"/>
      <c r="AB84" s="11"/>
      <c r="AC84" s="11"/>
      <c r="AD84" s="11"/>
    </row>
    <row r="85" ht="13.55" customHeight="1">
      <c r="A85" s="10"/>
      <c r="B85" s="11"/>
      <c r="C85" s="11"/>
      <c r="D85" s="11"/>
      <c r="E85" s="11"/>
      <c r="F85" s="11"/>
      <c r="G85" s="11"/>
      <c r="H85" s="11"/>
      <c r="I85" s="11"/>
      <c r="J85" s="11"/>
      <c r="K85" s="11"/>
      <c r="L85" s="11"/>
      <c r="M85" s="11"/>
      <c r="N85" s="11"/>
      <c r="O85" s="11"/>
      <c r="P85" s="11"/>
      <c r="Q85" s="11"/>
      <c r="R85" s="11"/>
      <c r="S85" s="11"/>
      <c r="T85" s="11"/>
      <c r="U85" s="11"/>
      <c r="V85" s="1058"/>
      <c r="W85" t="s" s="1035">
        <v>609</v>
      </c>
      <c r="X85" s="1040"/>
      <c r="Y85" s="949"/>
      <c r="Z85" s="11"/>
      <c r="AA85" s="11"/>
      <c r="AB85" s="11"/>
      <c r="AC85" s="11"/>
      <c r="AD85" s="11"/>
    </row>
    <row r="86" ht="13.55" customHeight="1">
      <c r="A86" s="10"/>
      <c r="B86" s="11"/>
      <c r="C86" s="11"/>
      <c r="D86" s="11"/>
      <c r="E86" s="11"/>
      <c r="F86" s="11"/>
      <c r="G86" s="11"/>
      <c r="H86" s="11"/>
      <c r="I86" s="11"/>
      <c r="J86" s="11"/>
      <c r="K86" s="11"/>
      <c r="L86" s="11"/>
      <c r="M86" s="11"/>
      <c r="N86" s="11"/>
      <c r="O86" s="11"/>
      <c r="P86" s="11"/>
      <c r="Q86" s="11"/>
      <c r="R86" s="11"/>
      <c r="S86" s="11"/>
      <c r="T86" s="11"/>
      <c r="U86" s="11"/>
      <c r="V86" s="1058"/>
      <c r="W86" t="s" s="1035">
        <v>610</v>
      </c>
      <c r="X86" s="1040"/>
      <c r="Y86" s="949"/>
      <c r="Z86" s="11"/>
      <c r="AA86" s="11"/>
      <c r="AB86" s="11"/>
      <c r="AC86" s="11"/>
      <c r="AD86" s="11"/>
    </row>
    <row r="87" ht="13.55" customHeight="1">
      <c r="A87" s="10"/>
      <c r="B87" s="11"/>
      <c r="C87" s="11"/>
      <c r="D87" s="11"/>
      <c r="E87" s="11"/>
      <c r="F87" s="11"/>
      <c r="G87" s="11"/>
      <c r="H87" s="11"/>
      <c r="I87" s="11"/>
      <c r="J87" s="11"/>
      <c r="K87" s="11"/>
      <c r="L87" s="11"/>
      <c r="M87" s="11"/>
      <c r="N87" s="11"/>
      <c r="O87" s="11"/>
      <c r="P87" s="11"/>
      <c r="Q87" s="11"/>
      <c r="R87" s="11"/>
      <c r="S87" s="11"/>
      <c r="T87" s="11"/>
      <c r="U87" s="11"/>
      <c r="V87" s="1058"/>
      <c r="W87" t="s" s="1035">
        <v>611</v>
      </c>
      <c r="X87" s="1040"/>
      <c r="Y87" s="949"/>
      <c r="Z87" s="11"/>
      <c r="AA87" s="11"/>
      <c r="AB87" s="11"/>
      <c r="AC87" s="11"/>
      <c r="AD87" s="11"/>
    </row>
    <row r="88" ht="13.55" customHeight="1">
      <c r="A88" s="10"/>
      <c r="B88" s="11"/>
      <c r="C88" s="11"/>
      <c r="D88" s="11"/>
      <c r="E88" s="11"/>
      <c r="F88" s="11"/>
      <c r="G88" s="11"/>
      <c r="H88" s="11"/>
      <c r="I88" s="11"/>
      <c r="J88" s="11"/>
      <c r="K88" s="11"/>
      <c r="L88" s="11"/>
      <c r="M88" s="11"/>
      <c r="N88" s="11"/>
      <c r="O88" s="11"/>
      <c r="P88" s="11"/>
      <c r="Q88" s="11"/>
      <c r="R88" s="11"/>
      <c r="S88" s="11"/>
      <c r="T88" s="11"/>
      <c r="U88" s="11"/>
      <c r="V88" s="1058"/>
      <c r="W88" t="s" s="1035">
        <v>612</v>
      </c>
      <c r="X88" s="1040"/>
      <c r="Y88" s="949"/>
      <c r="Z88" s="11"/>
      <c r="AA88" s="11"/>
      <c r="AB88" s="11"/>
      <c r="AC88" s="11"/>
      <c r="AD88" s="11"/>
    </row>
    <row r="89" ht="13.55" customHeight="1">
      <c r="A89" s="10"/>
      <c r="B89" s="11"/>
      <c r="C89" s="11"/>
      <c r="D89" s="11"/>
      <c r="E89" s="11"/>
      <c r="F89" s="11"/>
      <c r="G89" s="11"/>
      <c r="H89" s="11"/>
      <c r="I89" s="11"/>
      <c r="J89" s="11"/>
      <c r="K89" s="11"/>
      <c r="L89" s="11"/>
      <c r="M89" s="11"/>
      <c r="N89" s="11"/>
      <c r="O89" s="11"/>
      <c r="P89" s="11"/>
      <c r="Q89" s="11"/>
      <c r="R89" s="11"/>
      <c r="S89" s="11"/>
      <c r="T89" s="11"/>
      <c r="U89" s="11"/>
      <c r="V89" s="1058"/>
      <c r="W89" t="s" s="1035">
        <v>613</v>
      </c>
      <c r="X89" s="1040"/>
      <c r="Y89" s="949"/>
      <c r="Z89" s="11"/>
      <c r="AA89" s="11"/>
      <c r="AB89" s="11"/>
      <c r="AC89" s="11"/>
      <c r="AD89" s="11"/>
    </row>
    <row r="90" ht="13.55" customHeight="1">
      <c r="A90" s="10"/>
      <c r="B90" s="11"/>
      <c r="C90" s="11"/>
      <c r="D90" s="11"/>
      <c r="E90" s="11"/>
      <c r="F90" s="11"/>
      <c r="G90" s="11"/>
      <c r="H90" s="11"/>
      <c r="I90" s="11"/>
      <c r="J90" s="11"/>
      <c r="K90" s="11"/>
      <c r="L90" s="11"/>
      <c r="M90" s="11"/>
      <c r="N90" s="11"/>
      <c r="O90" s="11"/>
      <c r="P90" s="11"/>
      <c r="Q90" s="11"/>
      <c r="R90" s="11"/>
      <c r="S90" s="11"/>
      <c r="T90" s="11"/>
      <c r="U90" s="11"/>
      <c r="V90" s="1058"/>
      <c r="W90" t="s" s="1035">
        <v>614</v>
      </c>
      <c r="X90" s="1040"/>
      <c r="Y90" s="949"/>
      <c r="Z90" s="11"/>
      <c r="AA90" s="11"/>
      <c r="AB90" s="11"/>
      <c r="AC90" s="11"/>
      <c r="AD90" s="11"/>
    </row>
    <row r="91" ht="13.55" customHeight="1">
      <c r="A91" s="10"/>
      <c r="B91" s="11"/>
      <c r="C91" s="11"/>
      <c r="D91" s="11"/>
      <c r="E91" s="11"/>
      <c r="F91" s="11"/>
      <c r="G91" s="11"/>
      <c r="H91" s="11"/>
      <c r="I91" s="11"/>
      <c r="J91" s="11"/>
      <c r="K91" s="11"/>
      <c r="L91" s="11"/>
      <c r="M91" s="11"/>
      <c r="N91" s="11"/>
      <c r="O91" s="11"/>
      <c r="P91" s="11"/>
      <c r="Q91" s="11"/>
      <c r="R91" s="11"/>
      <c r="S91" s="11"/>
      <c r="T91" s="11"/>
      <c r="U91" s="11"/>
      <c r="V91" s="1058"/>
      <c r="W91" t="s" s="1035">
        <v>615</v>
      </c>
      <c r="X91" s="1040"/>
      <c r="Y91" s="949"/>
      <c r="Z91" s="11"/>
      <c r="AA91" s="11"/>
      <c r="AB91" s="11"/>
      <c r="AC91" s="11"/>
      <c r="AD91" s="11"/>
    </row>
    <row r="92" ht="13.55" customHeight="1">
      <c r="A92" s="10"/>
      <c r="B92" s="11"/>
      <c r="C92" s="11"/>
      <c r="D92" s="11"/>
      <c r="E92" s="11"/>
      <c r="F92" s="11"/>
      <c r="G92" s="11"/>
      <c r="H92" s="11"/>
      <c r="I92" s="11"/>
      <c r="J92" s="11"/>
      <c r="K92" s="11"/>
      <c r="L92" s="11"/>
      <c r="M92" s="11"/>
      <c r="N92" s="11"/>
      <c r="O92" s="11"/>
      <c r="P92" s="11"/>
      <c r="Q92" s="11"/>
      <c r="R92" s="11"/>
      <c r="S92" s="11"/>
      <c r="T92" s="11"/>
      <c r="U92" s="11"/>
      <c r="V92" s="1058"/>
      <c r="W92" t="s" s="1035">
        <v>616</v>
      </c>
      <c r="X92" s="1040"/>
      <c r="Y92" s="949"/>
      <c r="Z92" s="11"/>
      <c r="AA92" s="11"/>
      <c r="AB92" s="11"/>
      <c r="AC92" s="11"/>
      <c r="AD92" s="11"/>
    </row>
    <row r="93" ht="13.55" customHeight="1">
      <c r="A93" s="10"/>
      <c r="B93" s="11"/>
      <c r="C93" s="11"/>
      <c r="D93" s="11"/>
      <c r="E93" s="11"/>
      <c r="F93" s="11"/>
      <c r="G93" s="11"/>
      <c r="H93" s="11"/>
      <c r="I93" s="11"/>
      <c r="J93" s="11"/>
      <c r="K93" s="11"/>
      <c r="L93" s="11"/>
      <c r="M93" s="11"/>
      <c r="N93" s="11"/>
      <c r="O93" s="11"/>
      <c r="P93" s="11"/>
      <c r="Q93" s="11"/>
      <c r="R93" s="11"/>
      <c r="S93" s="11"/>
      <c r="T93" s="11"/>
      <c r="U93" s="11"/>
      <c r="V93" s="1058"/>
      <c r="W93" t="s" s="1035">
        <v>617</v>
      </c>
      <c r="X93" s="1040"/>
      <c r="Y93" s="949"/>
      <c r="Z93" s="11"/>
      <c r="AA93" s="11"/>
      <c r="AB93" s="11"/>
      <c r="AC93" s="11"/>
      <c r="AD93" s="11"/>
    </row>
    <row r="94" ht="13.55" customHeight="1">
      <c r="A94" s="10"/>
      <c r="B94" s="11"/>
      <c r="C94" s="11"/>
      <c r="D94" s="11"/>
      <c r="E94" s="11"/>
      <c r="F94" s="11"/>
      <c r="G94" s="11"/>
      <c r="H94" s="11"/>
      <c r="I94" s="11"/>
      <c r="J94" s="11"/>
      <c r="K94" s="11"/>
      <c r="L94" s="11"/>
      <c r="M94" s="11"/>
      <c r="N94" s="11"/>
      <c r="O94" s="11"/>
      <c r="P94" s="11"/>
      <c r="Q94" s="11"/>
      <c r="R94" s="11"/>
      <c r="S94" s="11"/>
      <c r="T94" s="11"/>
      <c r="U94" s="11"/>
      <c r="V94" s="1058"/>
      <c r="W94" t="s" s="1035">
        <v>618</v>
      </c>
      <c r="X94" s="1040"/>
      <c r="Y94" s="949"/>
      <c r="Z94" s="11"/>
      <c r="AA94" s="11"/>
      <c r="AB94" s="11"/>
      <c r="AC94" s="11"/>
      <c r="AD94" s="11"/>
    </row>
    <row r="95" ht="13.55" customHeight="1">
      <c r="A95" s="10"/>
      <c r="B95" s="11"/>
      <c r="C95" s="11"/>
      <c r="D95" s="11"/>
      <c r="E95" s="11"/>
      <c r="F95" s="11"/>
      <c r="G95" s="11"/>
      <c r="H95" s="11"/>
      <c r="I95" s="11"/>
      <c r="J95" s="11"/>
      <c r="K95" s="11"/>
      <c r="L95" s="11"/>
      <c r="M95" s="11"/>
      <c r="N95" s="11"/>
      <c r="O95" s="11"/>
      <c r="P95" s="11"/>
      <c r="Q95" s="11"/>
      <c r="R95" s="11"/>
      <c r="S95" s="11"/>
      <c r="T95" s="11"/>
      <c r="U95" s="11"/>
      <c r="V95" s="1058"/>
      <c r="W95" t="s" s="1035">
        <v>619</v>
      </c>
      <c r="X95" s="1040"/>
      <c r="Y95" s="949"/>
      <c r="Z95" s="11"/>
      <c r="AA95" s="11"/>
      <c r="AB95" s="11"/>
      <c r="AC95" s="11"/>
      <c r="AD95" s="11"/>
    </row>
    <row r="96" ht="13.55" customHeight="1">
      <c r="A96" s="10"/>
      <c r="B96" s="11"/>
      <c r="C96" s="11"/>
      <c r="D96" s="11"/>
      <c r="E96" s="11"/>
      <c r="F96" s="11"/>
      <c r="G96" s="11"/>
      <c r="H96" s="11"/>
      <c r="I96" s="11"/>
      <c r="J96" s="11"/>
      <c r="K96" s="11"/>
      <c r="L96" s="11"/>
      <c r="M96" s="11"/>
      <c r="N96" s="11"/>
      <c r="O96" s="11"/>
      <c r="P96" s="11"/>
      <c r="Q96" s="11"/>
      <c r="R96" s="11"/>
      <c r="S96" s="11"/>
      <c r="T96" s="11"/>
      <c r="U96" s="11"/>
      <c r="V96" s="1058"/>
      <c r="W96" t="s" s="1035">
        <v>620</v>
      </c>
      <c r="X96" s="1040"/>
      <c r="Y96" s="949"/>
      <c r="Z96" s="11"/>
      <c r="AA96" s="11"/>
      <c r="AB96" s="11"/>
      <c r="AC96" s="11"/>
      <c r="AD96" s="11"/>
    </row>
    <row r="97" ht="13.55" customHeight="1">
      <c r="A97" s="10"/>
      <c r="B97" s="11"/>
      <c r="C97" s="11"/>
      <c r="D97" s="11"/>
      <c r="E97" s="11"/>
      <c r="F97" s="11"/>
      <c r="G97" s="11"/>
      <c r="H97" s="11"/>
      <c r="I97" s="11"/>
      <c r="J97" s="11"/>
      <c r="K97" s="11"/>
      <c r="L97" s="11"/>
      <c r="M97" s="11"/>
      <c r="N97" s="11"/>
      <c r="O97" s="11"/>
      <c r="P97" s="11"/>
      <c r="Q97" s="11"/>
      <c r="R97" s="11"/>
      <c r="S97" s="11"/>
      <c r="T97" s="11"/>
      <c r="U97" s="11"/>
      <c r="V97" s="1058"/>
      <c r="W97" t="s" s="1035">
        <v>621</v>
      </c>
      <c r="X97" s="1040"/>
      <c r="Y97" s="949"/>
      <c r="Z97" s="11"/>
      <c r="AA97" s="11"/>
      <c r="AB97" s="11"/>
      <c r="AC97" s="11"/>
      <c r="AD97" s="11"/>
    </row>
    <row r="98" ht="13.55" customHeight="1">
      <c r="A98" s="10"/>
      <c r="B98" s="11"/>
      <c r="C98" s="11"/>
      <c r="D98" s="11"/>
      <c r="E98" s="11"/>
      <c r="F98" s="11"/>
      <c r="G98" s="11"/>
      <c r="H98" s="11"/>
      <c r="I98" s="11"/>
      <c r="J98" s="11"/>
      <c r="K98" s="11"/>
      <c r="L98" s="11"/>
      <c r="M98" s="11"/>
      <c r="N98" s="11"/>
      <c r="O98" s="11"/>
      <c r="P98" s="11"/>
      <c r="Q98" s="11"/>
      <c r="R98" s="11"/>
      <c r="S98" s="11"/>
      <c r="T98" s="11"/>
      <c r="U98" s="11"/>
      <c r="V98" s="1058"/>
      <c r="W98" t="s" s="1035">
        <v>622</v>
      </c>
      <c r="X98" s="1040"/>
      <c r="Y98" s="949"/>
      <c r="Z98" s="11"/>
      <c r="AA98" s="11"/>
      <c r="AB98" s="11"/>
      <c r="AC98" s="11"/>
      <c r="AD98" s="11"/>
    </row>
    <row r="99" ht="13.55" customHeight="1">
      <c r="A99" s="10"/>
      <c r="B99" s="11"/>
      <c r="C99" s="11"/>
      <c r="D99" s="11"/>
      <c r="E99" s="11"/>
      <c r="F99" s="11"/>
      <c r="G99" s="11"/>
      <c r="H99" s="11"/>
      <c r="I99" s="11"/>
      <c r="J99" s="11"/>
      <c r="K99" s="11"/>
      <c r="L99" s="11"/>
      <c r="M99" s="11"/>
      <c r="N99" s="11"/>
      <c r="O99" s="11"/>
      <c r="P99" s="11"/>
      <c r="Q99" s="11"/>
      <c r="R99" s="11"/>
      <c r="S99" s="11"/>
      <c r="T99" s="11"/>
      <c r="U99" s="11"/>
      <c r="V99" s="1058"/>
      <c r="W99" t="s" s="1035">
        <v>623</v>
      </c>
      <c r="X99" s="1040"/>
      <c r="Y99" s="949"/>
      <c r="Z99" s="11"/>
      <c r="AA99" s="11"/>
      <c r="AB99" s="11"/>
      <c r="AC99" s="11"/>
      <c r="AD99" s="11"/>
    </row>
    <row r="100" ht="13.55" customHeight="1">
      <c r="A100" s="10"/>
      <c r="B100" s="11"/>
      <c r="C100" s="11"/>
      <c r="D100" s="11"/>
      <c r="E100" s="11"/>
      <c r="F100" s="11"/>
      <c r="G100" s="11"/>
      <c r="H100" s="11"/>
      <c r="I100" s="11"/>
      <c r="J100" s="11"/>
      <c r="K100" s="11"/>
      <c r="L100" s="11"/>
      <c r="M100" s="11"/>
      <c r="N100" s="11"/>
      <c r="O100" s="11"/>
      <c r="P100" s="11"/>
      <c r="Q100" s="11"/>
      <c r="R100" s="11"/>
      <c r="S100" s="11"/>
      <c r="T100" s="11"/>
      <c r="U100" s="11"/>
      <c r="V100" s="1058"/>
      <c r="W100" t="s" s="1035">
        <v>624</v>
      </c>
      <c r="X100" s="1040"/>
      <c r="Y100" s="949"/>
      <c r="Z100" s="11"/>
      <c r="AA100" s="11"/>
      <c r="AB100" s="11"/>
      <c r="AC100" s="11"/>
      <c r="AD100" s="11"/>
    </row>
    <row r="101" ht="13.55" customHeight="1">
      <c r="A101" s="10"/>
      <c r="B101" s="11"/>
      <c r="C101" s="11"/>
      <c r="D101" s="11"/>
      <c r="E101" s="11"/>
      <c r="F101" s="11"/>
      <c r="G101" s="11"/>
      <c r="H101" s="11"/>
      <c r="I101" s="11"/>
      <c r="J101" s="11"/>
      <c r="K101" s="11"/>
      <c r="L101" s="11"/>
      <c r="M101" s="11"/>
      <c r="N101" s="11"/>
      <c r="O101" s="11"/>
      <c r="P101" s="11"/>
      <c r="Q101" s="11"/>
      <c r="R101" s="11"/>
      <c r="S101" s="11"/>
      <c r="T101" s="11"/>
      <c r="U101" s="11"/>
      <c r="V101" s="1058"/>
      <c r="W101" t="s" s="1035">
        <v>625</v>
      </c>
      <c r="X101" s="1040"/>
      <c r="Y101" s="949"/>
      <c r="Z101" s="11"/>
      <c r="AA101" s="11"/>
      <c r="AB101" s="11"/>
      <c r="AC101" s="11"/>
      <c r="AD101" s="11"/>
    </row>
    <row r="102" ht="13.55" customHeight="1">
      <c r="A102" s="10"/>
      <c r="B102" s="11"/>
      <c r="C102" s="11"/>
      <c r="D102" s="11"/>
      <c r="E102" s="11"/>
      <c r="F102" s="11"/>
      <c r="G102" s="11"/>
      <c r="H102" s="11"/>
      <c r="I102" s="11"/>
      <c r="J102" s="11"/>
      <c r="K102" s="11"/>
      <c r="L102" s="11"/>
      <c r="M102" s="11"/>
      <c r="N102" s="11"/>
      <c r="O102" s="11"/>
      <c r="P102" s="11"/>
      <c r="Q102" s="11"/>
      <c r="R102" s="11"/>
      <c r="S102" s="11"/>
      <c r="T102" s="11"/>
      <c r="U102" s="11"/>
      <c r="V102" s="1058"/>
      <c r="W102" t="s" s="1035">
        <v>626</v>
      </c>
      <c r="X102" s="1040"/>
      <c r="Y102" s="949"/>
      <c r="Z102" s="11"/>
      <c r="AA102" s="11"/>
      <c r="AB102" s="11"/>
      <c r="AC102" s="11"/>
      <c r="AD102" s="11"/>
    </row>
    <row r="103" ht="13.55" customHeight="1">
      <c r="A103" s="10"/>
      <c r="B103" s="11"/>
      <c r="C103" s="11"/>
      <c r="D103" s="11"/>
      <c r="E103" s="11"/>
      <c r="F103" s="11"/>
      <c r="G103" s="11"/>
      <c r="H103" s="11"/>
      <c r="I103" s="11"/>
      <c r="J103" s="11"/>
      <c r="K103" s="11"/>
      <c r="L103" s="11"/>
      <c r="M103" s="11"/>
      <c r="N103" s="11"/>
      <c r="O103" s="11"/>
      <c r="P103" s="11"/>
      <c r="Q103" s="11"/>
      <c r="R103" s="11"/>
      <c r="S103" s="11"/>
      <c r="T103" s="11"/>
      <c r="U103" s="11"/>
      <c r="V103" s="1058"/>
      <c r="W103" t="s" s="1035">
        <v>627</v>
      </c>
      <c r="X103" s="1040"/>
      <c r="Y103" s="949"/>
      <c r="Z103" s="11"/>
      <c r="AA103" s="11"/>
      <c r="AB103" s="11"/>
      <c r="AC103" s="11"/>
      <c r="AD103" s="11"/>
    </row>
    <row r="104" ht="13.55" customHeight="1">
      <c r="A104" s="10"/>
      <c r="B104" s="11"/>
      <c r="C104" s="11"/>
      <c r="D104" s="11"/>
      <c r="E104" s="11"/>
      <c r="F104" s="11"/>
      <c r="G104" s="11"/>
      <c r="H104" s="11"/>
      <c r="I104" s="11"/>
      <c r="J104" s="11"/>
      <c r="K104" s="11"/>
      <c r="L104" s="11"/>
      <c r="M104" s="11"/>
      <c r="N104" s="11"/>
      <c r="O104" s="11"/>
      <c r="P104" s="11"/>
      <c r="Q104" s="11"/>
      <c r="R104" s="11"/>
      <c r="S104" s="11"/>
      <c r="T104" s="11"/>
      <c r="U104" s="11"/>
      <c r="V104" s="1058"/>
      <c r="W104" t="s" s="1035">
        <v>628</v>
      </c>
      <c r="X104" s="1040"/>
      <c r="Y104" s="949"/>
      <c r="Z104" s="11"/>
      <c r="AA104" s="11"/>
      <c r="AB104" s="11"/>
      <c r="AC104" s="11"/>
      <c r="AD104" s="11"/>
    </row>
    <row r="105" ht="13.55" customHeight="1">
      <c r="A105" s="10"/>
      <c r="B105" s="11"/>
      <c r="C105" s="11"/>
      <c r="D105" s="11"/>
      <c r="E105" s="11"/>
      <c r="F105" s="11"/>
      <c r="G105" s="11"/>
      <c r="H105" s="11"/>
      <c r="I105" s="11"/>
      <c r="J105" s="11"/>
      <c r="K105" s="11"/>
      <c r="L105" s="11"/>
      <c r="M105" s="11"/>
      <c r="N105" s="11"/>
      <c r="O105" s="11"/>
      <c r="P105" s="11"/>
      <c r="Q105" s="11"/>
      <c r="R105" s="11"/>
      <c r="S105" s="11"/>
      <c r="T105" s="11"/>
      <c r="U105" s="11"/>
      <c r="V105" s="1058"/>
      <c r="W105" t="s" s="1035">
        <v>629</v>
      </c>
      <c r="X105" s="1040"/>
      <c r="Y105" s="949"/>
      <c r="Z105" s="11"/>
      <c r="AA105" s="11"/>
      <c r="AB105" s="11"/>
      <c r="AC105" s="11"/>
      <c r="AD105" s="11"/>
    </row>
    <row r="106" ht="13.55" customHeight="1">
      <c r="A106" s="10"/>
      <c r="B106" s="11"/>
      <c r="C106" s="11"/>
      <c r="D106" s="11"/>
      <c r="E106" s="11"/>
      <c r="F106" s="11"/>
      <c r="G106" s="11"/>
      <c r="H106" s="11"/>
      <c r="I106" s="11"/>
      <c r="J106" s="11"/>
      <c r="K106" s="11"/>
      <c r="L106" s="11"/>
      <c r="M106" s="11"/>
      <c r="N106" s="11"/>
      <c r="O106" s="11"/>
      <c r="P106" s="11"/>
      <c r="Q106" s="11"/>
      <c r="R106" s="11"/>
      <c r="S106" s="11"/>
      <c r="T106" s="11"/>
      <c r="U106" s="11"/>
      <c r="V106" s="1058"/>
      <c r="W106" t="s" s="1035">
        <v>630</v>
      </c>
      <c r="X106" s="1040"/>
      <c r="Y106" s="949"/>
      <c r="Z106" s="11"/>
      <c r="AA106" s="11"/>
      <c r="AB106" s="11"/>
      <c r="AC106" s="11"/>
      <c r="AD106" s="11"/>
    </row>
    <row r="107" ht="13.55" customHeight="1">
      <c r="A107" s="10"/>
      <c r="B107" s="11"/>
      <c r="C107" s="11"/>
      <c r="D107" s="11"/>
      <c r="E107" s="11"/>
      <c r="F107" s="11"/>
      <c r="G107" s="11"/>
      <c r="H107" s="11"/>
      <c r="I107" s="11"/>
      <c r="J107" s="11"/>
      <c r="K107" s="11"/>
      <c r="L107" s="11"/>
      <c r="M107" s="11"/>
      <c r="N107" s="11"/>
      <c r="O107" s="11"/>
      <c r="P107" s="11"/>
      <c r="Q107" s="11"/>
      <c r="R107" s="11"/>
      <c r="S107" s="11"/>
      <c r="T107" s="11"/>
      <c r="U107" s="11"/>
      <c r="V107" s="1058"/>
      <c r="W107" t="s" s="1035">
        <v>631</v>
      </c>
      <c r="X107" s="1040"/>
      <c r="Y107" s="949"/>
      <c r="Z107" s="11"/>
      <c r="AA107" s="11"/>
      <c r="AB107" s="11"/>
      <c r="AC107" s="11"/>
      <c r="AD107" s="11"/>
    </row>
    <row r="108" ht="13.55" customHeight="1">
      <c r="A108" s="10"/>
      <c r="B108" s="11"/>
      <c r="C108" s="11"/>
      <c r="D108" s="11"/>
      <c r="E108" s="11"/>
      <c r="F108" s="11"/>
      <c r="G108" s="11"/>
      <c r="H108" s="11"/>
      <c r="I108" s="11"/>
      <c r="J108" s="11"/>
      <c r="K108" s="11"/>
      <c r="L108" s="11"/>
      <c r="M108" s="11"/>
      <c r="N108" s="11"/>
      <c r="O108" s="11"/>
      <c r="P108" s="11"/>
      <c r="Q108" s="11"/>
      <c r="R108" s="11"/>
      <c r="S108" s="11"/>
      <c r="T108" s="11"/>
      <c r="U108" s="11"/>
      <c r="V108" s="1058"/>
      <c r="W108" t="s" s="1035">
        <v>632</v>
      </c>
      <c r="X108" s="1040"/>
      <c r="Y108" s="949"/>
      <c r="Z108" s="11"/>
      <c r="AA108" s="11"/>
      <c r="AB108" s="11"/>
      <c r="AC108" s="11"/>
      <c r="AD108" s="11"/>
    </row>
    <row r="109" ht="13.55" customHeight="1">
      <c r="A109" s="10"/>
      <c r="B109" s="11"/>
      <c r="C109" s="11"/>
      <c r="D109" s="11"/>
      <c r="E109" s="11"/>
      <c r="F109" s="11"/>
      <c r="G109" s="11"/>
      <c r="H109" s="11"/>
      <c r="I109" s="11"/>
      <c r="J109" s="11"/>
      <c r="K109" s="11"/>
      <c r="L109" s="11"/>
      <c r="M109" s="11"/>
      <c r="N109" s="11"/>
      <c r="O109" s="11"/>
      <c r="P109" s="11"/>
      <c r="Q109" s="11"/>
      <c r="R109" s="11"/>
      <c r="S109" s="11"/>
      <c r="T109" s="11"/>
      <c r="U109" s="11"/>
      <c r="V109" s="1058"/>
      <c r="W109" t="s" s="1035">
        <v>633</v>
      </c>
      <c r="X109" s="1040"/>
      <c r="Y109" s="949"/>
      <c r="Z109" s="11"/>
      <c r="AA109" s="11"/>
      <c r="AB109" s="11"/>
      <c r="AC109" s="11"/>
      <c r="AD109" s="11"/>
    </row>
    <row r="110" ht="13.55" customHeight="1">
      <c r="A110" s="10"/>
      <c r="B110" s="11"/>
      <c r="C110" s="11"/>
      <c r="D110" s="11"/>
      <c r="E110" s="11"/>
      <c r="F110" s="11"/>
      <c r="G110" s="11"/>
      <c r="H110" s="11"/>
      <c r="I110" s="11"/>
      <c r="J110" s="11"/>
      <c r="K110" s="11"/>
      <c r="L110" s="11"/>
      <c r="M110" s="11"/>
      <c r="N110" s="11"/>
      <c r="O110" s="11"/>
      <c r="P110" s="11"/>
      <c r="Q110" s="11"/>
      <c r="R110" s="11"/>
      <c r="S110" s="11"/>
      <c r="T110" s="11"/>
      <c r="U110" s="11"/>
      <c r="V110" s="1058"/>
      <c r="W110" t="s" s="1035">
        <v>634</v>
      </c>
      <c r="X110" s="1040"/>
      <c r="Y110" s="949"/>
      <c r="Z110" s="11"/>
      <c r="AA110" s="11"/>
      <c r="AB110" s="11"/>
      <c r="AC110" s="11"/>
      <c r="AD110" s="11"/>
    </row>
    <row r="111" ht="13.55" customHeight="1">
      <c r="A111" s="10"/>
      <c r="B111" s="11"/>
      <c r="C111" s="11"/>
      <c r="D111" s="11"/>
      <c r="E111" s="11"/>
      <c r="F111" s="11"/>
      <c r="G111" s="11"/>
      <c r="H111" s="11"/>
      <c r="I111" s="11"/>
      <c r="J111" s="11"/>
      <c r="K111" s="11"/>
      <c r="L111" s="11"/>
      <c r="M111" s="11"/>
      <c r="N111" s="11"/>
      <c r="O111" s="11"/>
      <c r="P111" s="11"/>
      <c r="Q111" s="11"/>
      <c r="R111" s="11"/>
      <c r="S111" s="11"/>
      <c r="T111" s="11"/>
      <c r="U111" s="11"/>
      <c r="V111" s="1058"/>
      <c r="W111" t="s" s="1035">
        <v>635</v>
      </c>
      <c r="X111" s="1040"/>
      <c r="Y111" s="949"/>
      <c r="Z111" s="11"/>
      <c r="AA111" s="11"/>
      <c r="AB111" s="11"/>
      <c r="AC111" s="11"/>
      <c r="AD111" s="11"/>
    </row>
    <row r="112" ht="13.55" customHeight="1">
      <c r="A112" s="10"/>
      <c r="B112" s="11"/>
      <c r="C112" s="11"/>
      <c r="D112" s="11"/>
      <c r="E112" s="11"/>
      <c r="F112" s="11"/>
      <c r="G112" s="11"/>
      <c r="H112" s="11"/>
      <c r="I112" s="11"/>
      <c r="J112" s="11"/>
      <c r="K112" s="11"/>
      <c r="L112" s="11"/>
      <c r="M112" s="11"/>
      <c r="N112" s="11"/>
      <c r="O112" s="11"/>
      <c r="P112" s="11"/>
      <c r="Q112" s="11"/>
      <c r="R112" s="11"/>
      <c r="S112" s="11"/>
      <c r="T112" s="11"/>
      <c r="U112" s="11"/>
      <c r="V112" s="1058"/>
      <c r="W112" t="s" s="1035">
        <v>636</v>
      </c>
      <c r="X112" s="1040"/>
      <c r="Y112" s="949"/>
      <c r="Z112" s="11"/>
      <c r="AA112" s="11"/>
      <c r="AB112" s="11"/>
      <c r="AC112" s="11"/>
      <c r="AD112" s="11"/>
    </row>
    <row r="113" ht="13.55" customHeight="1">
      <c r="A113" s="10"/>
      <c r="B113" s="11"/>
      <c r="C113" s="11"/>
      <c r="D113" s="11"/>
      <c r="E113" s="11"/>
      <c r="F113" s="11"/>
      <c r="G113" s="11"/>
      <c r="H113" s="11"/>
      <c r="I113" s="11"/>
      <c r="J113" s="11"/>
      <c r="K113" s="11"/>
      <c r="L113" s="11"/>
      <c r="M113" s="11"/>
      <c r="N113" s="11"/>
      <c r="O113" s="11"/>
      <c r="P113" s="11"/>
      <c r="Q113" s="11"/>
      <c r="R113" s="11"/>
      <c r="S113" s="11"/>
      <c r="T113" s="11"/>
      <c r="U113" s="11"/>
      <c r="V113" s="1058"/>
      <c r="W113" t="s" s="1035">
        <v>637</v>
      </c>
      <c r="X113" s="1040"/>
      <c r="Y113" s="949"/>
      <c r="Z113" s="11"/>
      <c r="AA113" s="11"/>
      <c r="AB113" s="11"/>
      <c r="AC113" s="11"/>
      <c r="AD113" s="11"/>
    </row>
    <row r="114" ht="13.55" customHeight="1">
      <c r="A114" s="10"/>
      <c r="B114" s="11"/>
      <c r="C114" s="11"/>
      <c r="D114" s="11"/>
      <c r="E114" s="11"/>
      <c r="F114" s="11"/>
      <c r="G114" s="11"/>
      <c r="H114" s="11"/>
      <c r="I114" s="11"/>
      <c r="J114" s="11"/>
      <c r="K114" s="11"/>
      <c r="L114" s="11"/>
      <c r="M114" s="11"/>
      <c r="N114" s="11"/>
      <c r="O114" s="11"/>
      <c r="P114" s="11"/>
      <c r="Q114" s="11"/>
      <c r="R114" s="11"/>
      <c r="S114" s="11"/>
      <c r="T114" s="11"/>
      <c r="U114" s="11"/>
      <c r="V114" s="1058"/>
      <c r="W114" t="s" s="1035">
        <v>638</v>
      </c>
      <c r="X114" s="1040"/>
      <c r="Y114" s="949"/>
      <c r="Z114" s="11"/>
      <c r="AA114" s="11"/>
      <c r="AB114" s="11"/>
      <c r="AC114" s="11"/>
      <c r="AD114" s="11"/>
    </row>
    <row r="115" ht="13.55" customHeight="1">
      <c r="A115" s="10"/>
      <c r="B115" s="11"/>
      <c r="C115" s="11"/>
      <c r="D115" s="11"/>
      <c r="E115" s="11"/>
      <c r="F115" s="11"/>
      <c r="G115" s="11"/>
      <c r="H115" s="11"/>
      <c r="I115" s="11"/>
      <c r="J115" s="11"/>
      <c r="K115" s="11"/>
      <c r="L115" s="11"/>
      <c r="M115" s="11"/>
      <c r="N115" s="11"/>
      <c r="O115" s="11"/>
      <c r="P115" s="11"/>
      <c r="Q115" s="11"/>
      <c r="R115" s="11"/>
      <c r="S115" s="11"/>
      <c r="T115" s="11"/>
      <c r="U115" s="11"/>
      <c r="V115" s="1058"/>
      <c r="W115" t="s" s="1035">
        <v>639</v>
      </c>
      <c r="X115" s="1040"/>
      <c r="Y115" s="949"/>
      <c r="Z115" s="11"/>
      <c r="AA115" s="11"/>
      <c r="AB115" s="11"/>
      <c r="AC115" s="11"/>
      <c r="AD115" s="11"/>
    </row>
    <row r="116" ht="13.55" customHeight="1">
      <c r="A116" s="10"/>
      <c r="B116" s="11"/>
      <c r="C116" s="11"/>
      <c r="D116" s="11"/>
      <c r="E116" s="11"/>
      <c r="F116" s="11"/>
      <c r="G116" s="11"/>
      <c r="H116" s="11"/>
      <c r="I116" s="11"/>
      <c r="J116" s="11"/>
      <c r="K116" s="11"/>
      <c r="L116" s="11"/>
      <c r="M116" s="11"/>
      <c r="N116" s="11"/>
      <c r="O116" s="11"/>
      <c r="P116" s="11"/>
      <c r="Q116" s="11"/>
      <c r="R116" s="11"/>
      <c r="S116" s="11"/>
      <c r="T116" s="11"/>
      <c r="U116" s="11"/>
      <c r="V116" s="1058"/>
      <c r="W116" t="s" s="1035">
        <v>640</v>
      </c>
      <c r="X116" s="1040"/>
      <c r="Y116" s="949"/>
      <c r="Z116" s="11"/>
      <c r="AA116" s="11"/>
      <c r="AB116" s="11"/>
      <c r="AC116" s="11"/>
      <c r="AD116" s="11"/>
    </row>
    <row r="117" ht="13.55" customHeight="1">
      <c r="A117" s="10"/>
      <c r="B117" s="11"/>
      <c r="C117" s="11"/>
      <c r="D117" s="11"/>
      <c r="E117" s="11"/>
      <c r="F117" s="11"/>
      <c r="G117" s="11"/>
      <c r="H117" s="11"/>
      <c r="I117" s="11"/>
      <c r="J117" s="11"/>
      <c r="K117" s="11"/>
      <c r="L117" s="11"/>
      <c r="M117" s="11"/>
      <c r="N117" s="11"/>
      <c r="O117" s="11"/>
      <c r="P117" s="11"/>
      <c r="Q117" s="11"/>
      <c r="R117" s="11"/>
      <c r="S117" s="11"/>
      <c r="T117" s="11"/>
      <c r="U117" s="11"/>
      <c r="V117" s="1058"/>
      <c r="W117" t="s" s="1035">
        <v>641</v>
      </c>
      <c r="X117" s="1040"/>
      <c r="Y117" s="949"/>
      <c r="Z117" s="11"/>
      <c r="AA117" s="11"/>
      <c r="AB117" s="11"/>
      <c r="AC117" s="11"/>
      <c r="AD117" s="11"/>
    </row>
    <row r="118" ht="13.55" customHeight="1">
      <c r="A118" s="10"/>
      <c r="B118" s="11"/>
      <c r="C118" s="11"/>
      <c r="D118" s="11"/>
      <c r="E118" s="11"/>
      <c r="F118" s="11"/>
      <c r="G118" s="11"/>
      <c r="H118" s="11"/>
      <c r="I118" s="11"/>
      <c r="J118" s="11"/>
      <c r="K118" s="11"/>
      <c r="L118" s="11"/>
      <c r="M118" s="11"/>
      <c r="N118" s="11"/>
      <c r="O118" s="11"/>
      <c r="P118" s="11"/>
      <c r="Q118" s="11"/>
      <c r="R118" s="11"/>
      <c r="S118" s="11"/>
      <c r="T118" s="11"/>
      <c r="U118" s="11"/>
      <c r="V118" s="1058"/>
      <c r="W118" t="s" s="1035">
        <v>642</v>
      </c>
      <c r="X118" s="1040"/>
      <c r="Y118" s="949"/>
      <c r="Z118" s="11"/>
      <c r="AA118" s="11"/>
      <c r="AB118" s="11"/>
      <c r="AC118" s="11"/>
      <c r="AD118" s="11"/>
    </row>
    <row r="119" ht="13.55" customHeight="1">
      <c r="A119" s="10"/>
      <c r="B119" s="11"/>
      <c r="C119" s="11"/>
      <c r="D119" s="11"/>
      <c r="E119" s="11"/>
      <c r="F119" s="11"/>
      <c r="G119" s="11"/>
      <c r="H119" s="11"/>
      <c r="I119" s="11"/>
      <c r="J119" s="11"/>
      <c r="K119" s="11"/>
      <c r="L119" s="11"/>
      <c r="M119" s="11"/>
      <c r="N119" s="11"/>
      <c r="O119" s="11"/>
      <c r="P119" s="11"/>
      <c r="Q119" s="11"/>
      <c r="R119" s="11"/>
      <c r="S119" s="11"/>
      <c r="T119" s="11"/>
      <c r="U119" s="11"/>
      <c r="V119" s="1058"/>
      <c r="W119" t="s" s="1035">
        <v>643</v>
      </c>
      <c r="X119" s="1040"/>
      <c r="Y119" s="949"/>
      <c r="Z119" s="11"/>
      <c r="AA119" s="11"/>
      <c r="AB119" s="11"/>
      <c r="AC119" s="11"/>
      <c r="AD119" s="11"/>
    </row>
    <row r="120" ht="13.55" customHeight="1">
      <c r="A120" s="10"/>
      <c r="B120" s="11"/>
      <c r="C120" s="11"/>
      <c r="D120" s="11"/>
      <c r="E120" s="11"/>
      <c r="F120" s="11"/>
      <c r="G120" s="11"/>
      <c r="H120" s="11"/>
      <c r="I120" s="11"/>
      <c r="J120" s="11"/>
      <c r="K120" s="11"/>
      <c r="L120" s="11"/>
      <c r="M120" s="11"/>
      <c r="N120" s="11"/>
      <c r="O120" s="11"/>
      <c r="P120" s="11"/>
      <c r="Q120" s="11"/>
      <c r="R120" s="11"/>
      <c r="S120" s="11"/>
      <c r="T120" s="11"/>
      <c r="U120" s="11"/>
      <c r="V120" s="1058"/>
      <c r="W120" t="s" s="1035">
        <v>644</v>
      </c>
      <c r="X120" s="1040"/>
      <c r="Y120" s="949"/>
      <c r="Z120" s="11"/>
      <c r="AA120" s="11"/>
      <c r="AB120" s="11"/>
      <c r="AC120" s="11"/>
      <c r="AD120" s="11"/>
    </row>
    <row r="121" ht="13.55" customHeight="1">
      <c r="A121" s="10"/>
      <c r="B121" s="11"/>
      <c r="C121" s="11"/>
      <c r="D121" s="11"/>
      <c r="E121" s="11"/>
      <c r="F121" s="11"/>
      <c r="G121" s="11"/>
      <c r="H121" s="11"/>
      <c r="I121" s="11"/>
      <c r="J121" s="11"/>
      <c r="K121" s="11"/>
      <c r="L121" s="11"/>
      <c r="M121" s="11"/>
      <c r="N121" s="11"/>
      <c r="O121" s="11"/>
      <c r="P121" s="11"/>
      <c r="Q121" s="11"/>
      <c r="R121" s="11"/>
      <c r="S121" s="11"/>
      <c r="T121" s="11"/>
      <c r="U121" s="11"/>
      <c r="V121" s="1058"/>
      <c r="W121" t="s" s="1035">
        <v>645</v>
      </c>
      <c r="X121" s="1040"/>
      <c r="Y121" s="949"/>
      <c r="Z121" s="11"/>
      <c r="AA121" s="11"/>
      <c r="AB121" s="11"/>
      <c r="AC121" s="11"/>
      <c r="AD121" s="11"/>
    </row>
    <row r="122" ht="13.55" customHeight="1">
      <c r="A122" s="10"/>
      <c r="B122" s="11"/>
      <c r="C122" s="11"/>
      <c r="D122" s="11"/>
      <c r="E122" s="11"/>
      <c r="F122" s="11"/>
      <c r="G122" s="11"/>
      <c r="H122" s="11"/>
      <c r="I122" s="11"/>
      <c r="J122" s="11"/>
      <c r="K122" s="11"/>
      <c r="L122" s="11"/>
      <c r="M122" s="11"/>
      <c r="N122" s="11"/>
      <c r="O122" s="11"/>
      <c r="P122" s="11"/>
      <c r="Q122" s="11"/>
      <c r="R122" s="11"/>
      <c r="S122" s="11"/>
      <c r="T122" s="11"/>
      <c r="U122" s="11"/>
      <c r="V122" s="1058"/>
      <c r="W122" t="s" s="1035">
        <v>646</v>
      </c>
      <c r="X122" s="1040"/>
      <c r="Y122" s="949"/>
      <c r="Z122" s="11"/>
      <c r="AA122" s="11"/>
      <c r="AB122" s="11"/>
      <c r="AC122" s="11"/>
      <c r="AD122" s="11"/>
    </row>
    <row r="123" ht="13.55" customHeight="1">
      <c r="A123" s="10"/>
      <c r="B123" s="11"/>
      <c r="C123" s="11"/>
      <c r="D123" s="11"/>
      <c r="E123" s="11"/>
      <c r="F123" s="11"/>
      <c r="G123" s="11"/>
      <c r="H123" s="11"/>
      <c r="I123" s="11"/>
      <c r="J123" s="11"/>
      <c r="K123" s="11"/>
      <c r="L123" s="11"/>
      <c r="M123" s="11"/>
      <c r="N123" s="11"/>
      <c r="O123" s="11"/>
      <c r="P123" s="11"/>
      <c r="Q123" s="11"/>
      <c r="R123" s="11"/>
      <c r="S123" s="11"/>
      <c r="T123" s="11"/>
      <c r="U123" s="11"/>
      <c r="V123" s="1058"/>
      <c r="W123" t="s" s="1035">
        <v>647</v>
      </c>
      <c r="X123" s="1040"/>
      <c r="Y123" s="949"/>
      <c r="Z123" s="11"/>
      <c r="AA123" s="11"/>
      <c r="AB123" s="11"/>
      <c r="AC123" s="11"/>
      <c r="AD123" s="11"/>
    </row>
    <row r="124" ht="13.55" customHeight="1">
      <c r="A124" s="10"/>
      <c r="B124" s="11"/>
      <c r="C124" s="11"/>
      <c r="D124" s="11"/>
      <c r="E124" s="11"/>
      <c r="F124" s="11"/>
      <c r="G124" s="11"/>
      <c r="H124" s="11"/>
      <c r="I124" s="11"/>
      <c r="J124" s="11"/>
      <c r="K124" s="11"/>
      <c r="L124" s="11"/>
      <c r="M124" s="11"/>
      <c r="N124" s="11"/>
      <c r="O124" s="11"/>
      <c r="P124" s="11"/>
      <c r="Q124" s="11"/>
      <c r="R124" s="11"/>
      <c r="S124" s="11"/>
      <c r="T124" s="11"/>
      <c r="U124" s="11"/>
      <c r="V124" s="1058"/>
      <c r="W124" t="s" s="1035">
        <v>648</v>
      </c>
      <c r="X124" s="1040"/>
      <c r="Y124" s="949"/>
      <c r="Z124" s="11"/>
      <c r="AA124" s="11"/>
      <c r="AB124" s="11"/>
      <c r="AC124" s="11"/>
      <c r="AD124" s="11"/>
    </row>
    <row r="125" ht="13.55" customHeight="1">
      <c r="A125" s="10"/>
      <c r="B125" s="11"/>
      <c r="C125" s="11"/>
      <c r="D125" s="11"/>
      <c r="E125" s="11"/>
      <c r="F125" s="11"/>
      <c r="G125" s="11"/>
      <c r="H125" s="11"/>
      <c r="I125" s="11"/>
      <c r="J125" s="11"/>
      <c r="K125" s="11"/>
      <c r="L125" s="11"/>
      <c r="M125" s="11"/>
      <c r="N125" s="11"/>
      <c r="O125" s="11"/>
      <c r="P125" s="11"/>
      <c r="Q125" s="11"/>
      <c r="R125" s="11"/>
      <c r="S125" s="11"/>
      <c r="T125" s="11"/>
      <c r="U125" s="11"/>
      <c r="V125" s="1058"/>
      <c r="W125" t="s" s="1035">
        <v>649</v>
      </c>
      <c r="X125" s="1040"/>
      <c r="Y125" s="949"/>
      <c r="Z125" s="11"/>
      <c r="AA125" s="11"/>
      <c r="AB125" s="11"/>
      <c r="AC125" s="11"/>
      <c r="AD125" s="11"/>
    </row>
    <row r="126" ht="13.55" customHeight="1">
      <c r="A126" s="10"/>
      <c r="B126" s="11"/>
      <c r="C126" s="11"/>
      <c r="D126" s="11"/>
      <c r="E126" s="11"/>
      <c r="F126" s="11"/>
      <c r="G126" s="11"/>
      <c r="H126" s="11"/>
      <c r="I126" s="11"/>
      <c r="J126" s="11"/>
      <c r="K126" s="11"/>
      <c r="L126" s="11"/>
      <c r="M126" s="11"/>
      <c r="N126" s="11"/>
      <c r="O126" s="11"/>
      <c r="P126" s="11"/>
      <c r="Q126" s="11"/>
      <c r="R126" s="11"/>
      <c r="S126" s="11"/>
      <c r="T126" s="11"/>
      <c r="U126" s="11"/>
      <c r="V126" s="1058"/>
      <c r="W126" t="s" s="1035">
        <v>650</v>
      </c>
      <c r="X126" s="1040"/>
      <c r="Y126" s="949"/>
      <c r="Z126" s="11"/>
      <c r="AA126" s="11"/>
      <c r="AB126" s="11"/>
      <c r="AC126" s="11"/>
      <c r="AD126" s="11"/>
    </row>
    <row r="127" ht="13.55" customHeight="1">
      <c r="A127" s="10"/>
      <c r="B127" s="11"/>
      <c r="C127" s="11"/>
      <c r="D127" s="11"/>
      <c r="E127" s="11"/>
      <c r="F127" s="11"/>
      <c r="G127" s="11"/>
      <c r="H127" s="11"/>
      <c r="I127" s="11"/>
      <c r="J127" s="11"/>
      <c r="K127" s="11"/>
      <c r="L127" s="11"/>
      <c r="M127" s="11"/>
      <c r="N127" s="11"/>
      <c r="O127" s="11"/>
      <c r="P127" s="11"/>
      <c r="Q127" s="11"/>
      <c r="R127" s="11"/>
      <c r="S127" s="11"/>
      <c r="T127" s="11"/>
      <c r="U127" s="11"/>
      <c r="V127" s="1058"/>
      <c r="W127" t="s" s="1035">
        <v>651</v>
      </c>
      <c r="X127" s="1040"/>
      <c r="Y127" s="949"/>
      <c r="Z127" s="11"/>
      <c r="AA127" s="11"/>
      <c r="AB127" s="11"/>
      <c r="AC127" s="11"/>
      <c r="AD127" s="11"/>
    </row>
    <row r="128" ht="13.55" customHeight="1">
      <c r="A128" s="10"/>
      <c r="B128" s="11"/>
      <c r="C128" s="11"/>
      <c r="D128" s="11"/>
      <c r="E128" s="11"/>
      <c r="F128" s="11"/>
      <c r="G128" s="11"/>
      <c r="H128" s="11"/>
      <c r="I128" s="11"/>
      <c r="J128" s="11"/>
      <c r="K128" s="11"/>
      <c r="L128" s="11"/>
      <c r="M128" s="11"/>
      <c r="N128" s="11"/>
      <c r="O128" s="11"/>
      <c r="P128" s="11"/>
      <c r="Q128" s="11"/>
      <c r="R128" s="11"/>
      <c r="S128" s="11"/>
      <c r="T128" s="11"/>
      <c r="U128" s="11"/>
      <c r="V128" s="1058"/>
      <c r="W128" t="s" s="1035">
        <v>652</v>
      </c>
      <c r="X128" s="1040"/>
      <c r="Y128" s="949"/>
      <c r="Z128" s="11"/>
      <c r="AA128" s="11"/>
      <c r="AB128" s="11"/>
      <c r="AC128" s="11"/>
      <c r="AD128" s="11"/>
    </row>
    <row r="129" ht="13.55" customHeight="1">
      <c r="A129" s="10"/>
      <c r="B129" s="11"/>
      <c r="C129" s="11"/>
      <c r="D129" s="11"/>
      <c r="E129" s="11"/>
      <c r="F129" s="11"/>
      <c r="G129" s="11"/>
      <c r="H129" s="11"/>
      <c r="I129" s="11"/>
      <c r="J129" s="11"/>
      <c r="K129" s="11"/>
      <c r="L129" s="11"/>
      <c r="M129" s="11"/>
      <c r="N129" s="11"/>
      <c r="O129" s="11"/>
      <c r="P129" s="11"/>
      <c r="Q129" s="11"/>
      <c r="R129" s="11"/>
      <c r="S129" s="11"/>
      <c r="T129" s="11"/>
      <c r="U129" s="11"/>
      <c r="V129" s="1058"/>
      <c r="W129" t="s" s="1035">
        <v>653</v>
      </c>
      <c r="X129" s="1040"/>
      <c r="Y129" s="949"/>
      <c r="Z129" s="11"/>
      <c r="AA129" s="11"/>
      <c r="AB129" s="11"/>
      <c r="AC129" s="11"/>
      <c r="AD129" s="11"/>
    </row>
    <row r="130" ht="13.55" customHeight="1">
      <c r="A130" s="10"/>
      <c r="B130" s="11"/>
      <c r="C130" s="11"/>
      <c r="D130" s="11"/>
      <c r="E130" s="11"/>
      <c r="F130" s="11"/>
      <c r="G130" s="11"/>
      <c r="H130" s="11"/>
      <c r="I130" s="11"/>
      <c r="J130" s="11"/>
      <c r="K130" s="11"/>
      <c r="L130" s="11"/>
      <c r="M130" s="11"/>
      <c r="N130" s="11"/>
      <c r="O130" s="11"/>
      <c r="P130" s="11"/>
      <c r="Q130" s="11"/>
      <c r="R130" s="11"/>
      <c r="S130" s="11"/>
      <c r="T130" s="11"/>
      <c r="U130" s="11"/>
      <c r="V130" s="1058"/>
      <c r="W130" t="s" s="1035">
        <v>654</v>
      </c>
      <c r="X130" s="1040"/>
      <c r="Y130" s="949"/>
      <c r="Z130" s="11"/>
      <c r="AA130" s="11"/>
      <c r="AB130" s="11"/>
      <c r="AC130" s="11"/>
      <c r="AD130" s="11"/>
    </row>
    <row r="131" ht="13.55" customHeight="1">
      <c r="A131" s="10"/>
      <c r="B131" s="11"/>
      <c r="C131" s="11"/>
      <c r="D131" s="11"/>
      <c r="E131" s="11"/>
      <c r="F131" s="11"/>
      <c r="G131" s="11"/>
      <c r="H131" s="11"/>
      <c r="I131" s="11"/>
      <c r="J131" s="11"/>
      <c r="K131" s="11"/>
      <c r="L131" s="11"/>
      <c r="M131" s="11"/>
      <c r="N131" s="11"/>
      <c r="O131" s="11"/>
      <c r="P131" s="11"/>
      <c r="Q131" s="11"/>
      <c r="R131" s="11"/>
      <c r="S131" s="11"/>
      <c r="T131" s="11"/>
      <c r="U131" s="11"/>
      <c r="V131" s="1058"/>
      <c r="W131" t="s" s="1035">
        <v>655</v>
      </c>
      <c r="X131" s="1040"/>
      <c r="Y131" s="949"/>
      <c r="Z131" s="11"/>
      <c r="AA131" s="11"/>
      <c r="AB131" s="11"/>
      <c r="AC131" s="11"/>
      <c r="AD131" s="11"/>
    </row>
    <row r="132" ht="13.55" customHeight="1">
      <c r="A132" s="10"/>
      <c r="B132" s="11"/>
      <c r="C132" s="11"/>
      <c r="D132" s="11"/>
      <c r="E132" s="11"/>
      <c r="F132" s="11"/>
      <c r="G132" s="11"/>
      <c r="H132" s="11"/>
      <c r="I132" s="11"/>
      <c r="J132" s="11"/>
      <c r="K132" s="11"/>
      <c r="L132" s="11"/>
      <c r="M132" s="11"/>
      <c r="N132" s="11"/>
      <c r="O132" s="11"/>
      <c r="P132" s="11"/>
      <c r="Q132" s="11"/>
      <c r="R132" s="11"/>
      <c r="S132" s="11"/>
      <c r="T132" s="11"/>
      <c r="U132" s="11"/>
      <c r="V132" s="1058"/>
      <c r="W132" t="s" s="1035">
        <v>656</v>
      </c>
      <c r="X132" s="1040"/>
      <c r="Y132" s="949"/>
      <c r="Z132" s="11"/>
      <c r="AA132" s="11"/>
      <c r="AB132" s="11"/>
      <c r="AC132" s="11"/>
      <c r="AD132" s="11"/>
    </row>
    <row r="133" ht="13.55" customHeight="1">
      <c r="A133" s="10"/>
      <c r="B133" s="11"/>
      <c r="C133" s="11"/>
      <c r="D133" s="11"/>
      <c r="E133" s="11"/>
      <c r="F133" s="11"/>
      <c r="G133" s="11"/>
      <c r="H133" s="11"/>
      <c r="I133" s="11"/>
      <c r="J133" s="11"/>
      <c r="K133" s="11"/>
      <c r="L133" s="11"/>
      <c r="M133" s="11"/>
      <c r="N133" s="11"/>
      <c r="O133" s="11"/>
      <c r="P133" s="11"/>
      <c r="Q133" s="11"/>
      <c r="R133" s="11"/>
      <c r="S133" s="11"/>
      <c r="T133" s="11"/>
      <c r="U133" s="11"/>
      <c r="V133" s="1058"/>
      <c r="W133" t="s" s="1035">
        <v>657</v>
      </c>
      <c r="X133" s="1040"/>
      <c r="Y133" s="949"/>
      <c r="Z133" s="11"/>
      <c r="AA133" s="11"/>
      <c r="AB133" s="11"/>
      <c r="AC133" s="11"/>
      <c r="AD133" s="11"/>
    </row>
    <row r="134" ht="13.55" customHeight="1">
      <c r="A134" s="10"/>
      <c r="B134" s="11"/>
      <c r="C134" s="11"/>
      <c r="D134" s="11"/>
      <c r="E134" s="11"/>
      <c r="F134" s="11"/>
      <c r="G134" s="11"/>
      <c r="H134" s="11"/>
      <c r="I134" s="11"/>
      <c r="J134" s="11"/>
      <c r="K134" s="11"/>
      <c r="L134" s="11"/>
      <c r="M134" s="11"/>
      <c r="N134" s="11"/>
      <c r="O134" s="11"/>
      <c r="P134" s="11"/>
      <c r="Q134" s="11"/>
      <c r="R134" s="11"/>
      <c r="S134" s="11"/>
      <c r="T134" s="11"/>
      <c r="U134" s="11"/>
      <c r="V134" s="1058"/>
      <c r="W134" t="s" s="1035">
        <v>658</v>
      </c>
      <c r="X134" s="1040"/>
      <c r="Y134" s="949"/>
      <c r="Z134" s="11"/>
      <c r="AA134" s="11"/>
      <c r="AB134" s="11"/>
      <c r="AC134" s="11"/>
      <c r="AD134" s="11"/>
    </row>
    <row r="135" ht="13.55" customHeight="1">
      <c r="A135" s="10"/>
      <c r="B135" s="11"/>
      <c r="C135" s="11"/>
      <c r="D135" s="11"/>
      <c r="E135" s="11"/>
      <c r="F135" s="11"/>
      <c r="G135" s="11"/>
      <c r="H135" s="11"/>
      <c r="I135" s="11"/>
      <c r="J135" s="11"/>
      <c r="K135" s="11"/>
      <c r="L135" s="11"/>
      <c r="M135" s="11"/>
      <c r="N135" s="11"/>
      <c r="O135" s="11"/>
      <c r="P135" s="11"/>
      <c r="Q135" s="11"/>
      <c r="R135" s="11"/>
      <c r="S135" s="11"/>
      <c r="T135" s="11"/>
      <c r="U135" s="11"/>
      <c r="V135" s="1058"/>
      <c r="W135" t="s" s="1035">
        <v>659</v>
      </c>
      <c r="X135" s="1040"/>
      <c r="Y135" s="949"/>
      <c r="Z135" s="11"/>
      <c r="AA135" s="11"/>
      <c r="AB135" s="11"/>
      <c r="AC135" s="11"/>
      <c r="AD135" s="11"/>
    </row>
    <row r="136" ht="13.55" customHeight="1">
      <c r="A136" s="10"/>
      <c r="B136" s="11"/>
      <c r="C136" s="11"/>
      <c r="D136" s="11"/>
      <c r="E136" s="11"/>
      <c r="F136" s="11"/>
      <c r="G136" s="11"/>
      <c r="H136" s="11"/>
      <c r="I136" s="11"/>
      <c r="J136" s="11"/>
      <c r="K136" s="11"/>
      <c r="L136" s="11"/>
      <c r="M136" s="11"/>
      <c r="N136" s="11"/>
      <c r="O136" s="11"/>
      <c r="P136" s="11"/>
      <c r="Q136" s="11"/>
      <c r="R136" s="11"/>
      <c r="S136" s="11"/>
      <c r="T136" s="11"/>
      <c r="U136" s="11"/>
      <c r="V136" s="1058"/>
      <c r="W136" t="s" s="1035">
        <v>660</v>
      </c>
      <c r="X136" s="1040"/>
      <c r="Y136" s="949"/>
      <c r="Z136" s="11"/>
      <c r="AA136" s="11"/>
      <c r="AB136" s="11"/>
      <c r="AC136" s="11"/>
      <c r="AD136" s="11"/>
    </row>
    <row r="137" ht="13.55" customHeight="1">
      <c r="A137" s="10"/>
      <c r="B137" s="11"/>
      <c r="C137" s="11"/>
      <c r="D137" s="11"/>
      <c r="E137" s="11"/>
      <c r="F137" s="11"/>
      <c r="G137" s="11"/>
      <c r="H137" s="11"/>
      <c r="I137" s="11"/>
      <c r="J137" s="11"/>
      <c r="K137" s="11"/>
      <c r="L137" s="11"/>
      <c r="M137" s="11"/>
      <c r="N137" s="11"/>
      <c r="O137" s="11"/>
      <c r="P137" s="11"/>
      <c r="Q137" s="11"/>
      <c r="R137" s="11"/>
      <c r="S137" s="11"/>
      <c r="T137" s="11"/>
      <c r="U137" s="11"/>
      <c r="V137" s="1058"/>
      <c r="W137" t="s" s="1035">
        <v>661</v>
      </c>
      <c r="X137" s="1040"/>
      <c r="Y137" s="949"/>
      <c r="Z137" s="11"/>
      <c r="AA137" s="11"/>
      <c r="AB137" s="11"/>
      <c r="AC137" s="11"/>
      <c r="AD137" s="11"/>
    </row>
    <row r="138" ht="13.55" customHeight="1">
      <c r="A138" s="10"/>
      <c r="B138" s="11"/>
      <c r="C138" s="11"/>
      <c r="D138" s="11"/>
      <c r="E138" s="11"/>
      <c r="F138" s="11"/>
      <c r="G138" s="11"/>
      <c r="H138" s="11"/>
      <c r="I138" s="11"/>
      <c r="J138" s="11"/>
      <c r="K138" s="11"/>
      <c r="L138" s="11"/>
      <c r="M138" s="11"/>
      <c r="N138" s="11"/>
      <c r="O138" s="11"/>
      <c r="P138" s="11"/>
      <c r="Q138" s="11"/>
      <c r="R138" s="11"/>
      <c r="S138" s="11"/>
      <c r="T138" s="11"/>
      <c r="U138" s="11"/>
      <c r="V138" s="1058"/>
      <c r="W138" t="s" s="1035">
        <v>662</v>
      </c>
      <c r="X138" s="1040"/>
      <c r="Y138" s="949"/>
      <c r="Z138" s="11"/>
      <c r="AA138" s="11"/>
      <c r="AB138" s="11"/>
      <c r="AC138" s="11"/>
      <c r="AD138" s="11"/>
    </row>
    <row r="139" ht="13.55" customHeight="1">
      <c r="A139" s="10"/>
      <c r="B139" s="11"/>
      <c r="C139" s="11"/>
      <c r="D139" s="11"/>
      <c r="E139" s="11"/>
      <c r="F139" s="11"/>
      <c r="G139" s="11"/>
      <c r="H139" s="11"/>
      <c r="I139" s="11"/>
      <c r="J139" s="11"/>
      <c r="K139" s="11"/>
      <c r="L139" s="11"/>
      <c r="M139" s="11"/>
      <c r="N139" s="11"/>
      <c r="O139" s="11"/>
      <c r="P139" s="11"/>
      <c r="Q139" s="11"/>
      <c r="R139" s="11"/>
      <c r="S139" s="11"/>
      <c r="T139" s="11"/>
      <c r="U139" s="11"/>
      <c r="V139" s="1058"/>
      <c r="W139" t="s" s="1035">
        <v>663</v>
      </c>
      <c r="X139" s="1040"/>
      <c r="Y139" s="949"/>
      <c r="Z139" s="11"/>
      <c r="AA139" s="11"/>
      <c r="AB139" s="11"/>
      <c r="AC139" s="11"/>
      <c r="AD139" s="11"/>
    </row>
    <row r="140" ht="13.55" customHeight="1">
      <c r="A140" s="10"/>
      <c r="B140" s="11"/>
      <c r="C140" s="11"/>
      <c r="D140" s="11"/>
      <c r="E140" s="11"/>
      <c r="F140" s="11"/>
      <c r="G140" s="11"/>
      <c r="H140" s="11"/>
      <c r="I140" s="11"/>
      <c r="J140" s="11"/>
      <c r="K140" s="11"/>
      <c r="L140" s="11"/>
      <c r="M140" s="11"/>
      <c r="N140" s="11"/>
      <c r="O140" s="11"/>
      <c r="P140" s="11"/>
      <c r="Q140" s="11"/>
      <c r="R140" s="11"/>
      <c r="S140" s="11"/>
      <c r="T140" s="11"/>
      <c r="U140" s="11"/>
      <c r="V140" s="1058"/>
      <c r="W140" t="s" s="1035">
        <v>664</v>
      </c>
      <c r="X140" s="1040"/>
      <c r="Y140" s="949"/>
      <c r="Z140" s="11"/>
      <c r="AA140" s="11"/>
      <c r="AB140" s="11"/>
      <c r="AC140" s="11"/>
      <c r="AD140" s="11"/>
    </row>
    <row r="141" ht="13.55" customHeight="1">
      <c r="A141" s="10"/>
      <c r="B141" s="11"/>
      <c r="C141" s="11"/>
      <c r="D141" s="11"/>
      <c r="E141" s="11"/>
      <c r="F141" s="11"/>
      <c r="G141" s="11"/>
      <c r="H141" s="11"/>
      <c r="I141" s="11"/>
      <c r="J141" s="11"/>
      <c r="K141" s="11"/>
      <c r="L141" s="11"/>
      <c r="M141" s="11"/>
      <c r="N141" s="11"/>
      <c r="O141" s="11"/>
      <c r="P141" s="11"/>
      <c r="Q141" s="11"/>
      <c r="R141" s="11"/>
      <c r="S141" s="11"/>
      <c r="T141" s="11"/>
      <c r="U141" s="11"/>
      <c r="V141" s="1058"/>
      <c r="W141" t="s" s="1035">
        <v>665</v>
      </c>
      <c r="X141" s="1040"/>
      <c r="Y141" s="949"/>
      <c r="Z141" s="11"/>
      <c r="AA141" s="11"/>
      <c r="AB141" s="11"/>
      <c r="AC141" s="11"/>
      <c r="AD141" s="11"/>
    </row>
    <row r="142" ht="13.55" customHeight="1">
      <c r="A142" s="10"/>
      <c r="B142" s="11"/>
      <c r="C142" s="11"/>
      <c r="D142" s="11"/>
      <c r="E142" s="11"/>
      <c r="F142" s="11"/>
      <c r="G142" s="11"/>
      <c r="H142" s="11"/>
      <c r="I142" s="11"/>
      <c r="J142" s="11"/>
      <c r="K142" s="11"/>
      <c r="L142" s="11"/>
      <c r="M142" s="11"/>
      <c r="N142" s="11"/>
      <c r="O142" s="11"/>
      <c r="P142" s="11"/>
      <c r="Q142" s="11"/>
      <c r="R142" s="11"/>
      <c r="S142" s="11"/>
      <c r="T142" s="11"/>
      <c r="U142" s="11"/>
      <c r="V142" s="1058"/>
      <c r="W142" t="s" s="1035">
        <v>666</v>
      </c>
      <c r="X142" s="1040"/>
      <c r="Y142" s="949"/>
      <c r="Z142" s="11"/>
      <c r="AA142" s="11"/>
      <c r="AB142" s="11"/>
      <c r="AC142" s="11"/>
      <c r="AD142" s="11"/>
    </row>
    <row r="143" ht="13.55" customHeight="1">
      <c r="A143" s="10"/>
      <c r="B143" s="11"/>
      <c r="C143" s="11"/>
      <c r="D143" s="11"/>
      <c r="E143" s="11"/>
      <c r="F143" s="11"/>
      <c r="G143" s="11"/>
      <c r="H143" s="11"/>
      <c r="I143" s="11"/>
      <c r="J143" s="11"/>
      <c r="K143" s="11"/>
      <c r="L143" s="11"/>
      <c r="M143" s="11"/>
      <c r="N143" s="11"/>
      <c r="O143" s="11"/>
      <c r="P143" s="11"/>
      <c r="Q143" s="11"/>
      <c r="R143" s="11"/>
      <c r="S143" s="11"/>
      <c r="T143" s="11"/>
      <c r="U143" s="11"/>
      <c r="V143" s="1058"/>
      <c r="W143" t="s" s="1035">
        <v>667</v>
      </c>
      <c r="X143" s="1040"/>
      <c r="Y143" s="949"/>
      <c r="Z143" s="11"/>
      <c r="AA143" s="11"/>
      <c r="AB143" s="11"/>
      <c r="AC143" s="11"/>
      <c r="AD143" s="11"/>
    </row>
    <row r="144" ht="13.55" customHeight="1">
      <c r="A144" s="10"/>
      <c r="B144" s="11"/>
      <c r="C144" s="11"/>
      <c r="D144" s="11"/>
      <c r="E144" s="11"/>
      <c r="F144" s="11"/>
      <c r="G144" s="11"/>
      <c r="H144" s="11"/>
      <c r="I144" s="11"/>
      <c r="J144" s="11"/>
      <c r="K144" s="11"/>
      <c r="L144" s="11"/>
      <c r="M144" s="11"/>
      <c r="N144" s="11"/>
      <c r="O144" s="11"/>
      <c r="P144" s="11"/>
      <c r="Q144" s="11"/>
      <c r="R144" s="11"/>
      <c r="S144" s="11"/>
      <c r="T144" s="11"/>
      <c r="U144" s="11"/>
      <c r="V144" s="1058"/>
      <c r="W144" t="s" s="1035">
        <v>668</v>
      </c>
      <c r="X144" s="1040"/>
      <c r="Y144" s="949"/>
      <c r="Z144" s="11"/>
      <c r="AA144" s="11"/>
      <c r="AB144" s="11"/>
      <c r="AC144" s="11"/>
      <c r="AD144" s="11"/>
    </row>
    <row r="145" ht="13.55" customHeight="1">
      <c r="A145" s="10"/>
      <c r="B145" s="11"/>
      <c r="C145" s="11"/>
      <c r="D145" s="11"/>
      <c r="E145" s="11"/>
      <c r="F145" s="11"/>
      <c r="G145" s="11"/>
      <c r="H145" s="11"/>
      <c r="I145" s="11"/>
      <c r="J145" s="11"/>
      <c r="K145" s="11"/>
      <c r="L145" s="11"/>
      <c r="M145" s="11"/>
      <c r="N145" s="11"/>
      <c r="O145" s="11"/>
      <c r="P145" s="11"/>
      <c r="Q145" s="11"/>
      <c r="R145" s="11"/>
      <c r="S145" s="11"/>
      <c r="T145" s="11"/>
      <c r="U145" s="11"/>
      <c r="V145" s="1058"/>
      <c r="W145" t="s" s="1035">
        <v>669</v>
      </c>
      <c r="X145" s="1040"/>
      <c r="Y145" s="949"/>
      <c r="Z145" s="11"/>
      <c r="AA145" s="11"/>
      <c r="AB145" s="11"/>
      <c r="AC145" s="11"/>
      <c r="AD145" s="11"/>
    </row>
    <row r="146" ht="13.55" customHeight="1">
      <c r="A146" s="10"/>
      <c r="B146" s="11"/>
      <c r="C146" s="11"/>
      <c r="D146" s="11"/>
      <c r="E146" s="11"/>
      <c r="F146" s="11"/>
      <c r="G146" s="11"/>
      <c r="H146" s="11"/>
      <c r="I146" s="11"/>
      <c r="J146" s="11"/>
      <c r="K146" s="11"/>
      <c r="L146" s="11"/>
      <c r="M146" s="11"/>
      <c r="N146" s="11"/>
      <c r="O146" s="11"/>
      <c r="P146" s="11"/>
      <c r="Q146" s="11"/>
      <c r="R146" s="11"/>
      <c r="S146" s="11"/>
      <c r="T146" s="11"/>
      <c r="U146" s="11"/>
      <c r="V146" s="1058"/>
      <c r="W146" t="s" s="1035">
        <v>670</v>
      </c>
      <c r="X146" s="1040"/>
      <c r="Y146" s="949"/>
      <c r="Z146" s="11"/>
      <c r="AA146" s="11"/>
      <c r="AB146" s="11"/>
      <c r="AC146" s="11"/>
      <c r="AD146" s="11"/>
    </row>
    <row r="147" ht="13.55" customHeight="1">
      <c r="A147" s="10"/>
      <c r="B147" s="11"/>
      <c r="C147" s="11"/>
      <c r="D147" s="11"/>
      <c r="E147" s="11"/>
      <c r="F147" s="11"/>
      <c r="G147" s="11"/>
      <c r="H147" s="11"/>
      <c r="I147" s="11"/>
      <c r="J147" s="11"/>
      <c r="K147" s="11"/>
      <c r="L147" s="11"/>
      <c r="M147" s="11"/>
      <c r="N147" s="11"/>
      <c r="O147" s="11"/>
      <c r="P147" s="11"/>
      <c r="Q147" s="11"/>
      <c r="R147" s="11"/>
      <c r="S147" s="11"/>
      <c r="T147" s="11"/>
      <c r="U147" s="11"/>
      <c r="V147" s="1058"/>
      <c r="W147" t="s" s="1035">
        <v>671</v>
      </c>
      <c r="X147" s="1040"/>
      <c r="Y147" s="949"/>
      <c r="Z147" s="11"/>
      <c r="AA147" s="11"/>
      <c r="AB147" s="11"/>
      <c r="AC147" s="11"/>
      <c r="AD147" s="11"/>
    </row>
    <row r="148" ht="13.55" customHeight="1">
      <c r="A148" s="10"/>
      <c r="B148" s="11"/>
      <c r="C148" s="11"/>
      <c r="D148" s="11"/>
      <c r="E148" s="11"/>
      <c r="F148" s="11"/>
      <c r="G148" s="11"/>
      <c r="H148" s="11"/>
      <c r="I148" s="11"/>
      <c r="J148" s="11"/>
      <c r="K148" s="11"/>
      <c r="L148" s="11"/>
      <c r="M148" s="11"/>
      <c r="N148" s="11"/>
      <c r="O148" s="11"/>
      <c r="P148" s="11"/>
      <c r="Q148" s="11"/>
      <c r="R148" s="11"/>
      <c r="S148" s="11"/>
      <c r="T148" s="11"/>
      <c r="U148" s="11"/>
      <c r="V148" s="1058"/>
      <c r="W148" t="s" s="1035">
        <v>672</v>
      </c>
      <c r="X148" s="1040"/>
      <c r="Y148" s="949"/>
      <c r="Z148" s="11"/>
      <c r="AA148" s="11"/>
      <c r="AB148" s="11"/>
      <c r="AC148" s="11"/>
      <c r="AD148" s="11"/>
    </row>
    <row r="149" ht="13.55" customHeight="1">
      <c r="A149" s="10"/>
      <c r="B149" s="11"/>
      <c r="C149" s="11"/>
      <c r="D149" s="11"/>
      <c r="E149" s="11"/>
      <c r="F149" s="11"/>
      <c r="G149" s="11"/>
      <c r="H149" s="11"/>
      <c r="I149" s="11"/>
      <c r="J149" s="11"/>
      <c r="K149" s="11"/>
      <c r="L149" s="11"/>
      <c r="M149" s="11"/>
      <c r="N149" s="11"/>
      <c r="O149" s="11"/>
      <c r="P149" s="11"/>
      <c r="Q149" s="11"/>
      <c r="R149" s="11"/>
      <c r="S149" s="11"/>
      <c r="T149" s="11"/>
      <c r="U149" s="11"/>
      <c r="V149" s="1058"/>
      <c r="W149" t="s" s="1035">
        <v>673</v>
      </c>
      <c r="X149" s="1040"/>
      <c r="Y149" s="949"/>
      <c r="Z149" s="11"/>
      <c r="AA149" s="11"/>
      <c r="AB149" s="11"/>
      <c r="AC149" s="11"/>
      <c r="AD149" s="11"/>
    </row>
    <row r="150" ht="13.55" customHeight="1">
      <c r="A150" s="10"/>
      <c r="B150" s="11"/>
      <c r="C150" s="11"/>
      <c r="D150" s="11"/>
      <c r="E150" s="11"/>
      <c r="F150" s="11"/>
      <c r="G150" s="11"/>
      <c r="H150" s="11"/>
      <c r="I150" s="11"/>
      <c r="J150" s="11"/>
      <c r="K150" s="11"/>
      <c r="L150" s="11"/>
      <c r="M150" s="11"/>
      <c r="N150" s="11"/>
      <c r="O150" s="11"/>
      <c r="P150" s="11"/>
      <c r="Q150" s="11"/>
      <c r="R150" s="11"/>
      <c r="S150" s="11"/>
      <c r="T150" s="11"/>
      <c r="U150" s="11"/>
      <c r="V150" s="1058"/>
      <c r="W150" t="s" s="1035">
        <v>674</v>
      </c>
      <c r="X150" s="1040"/>
      <c r="Y150" s="949"/>
      <c r="Z150" s="11"/>
      <c r="AA150" s="11"/>
      <c r="AB150" s="11"/>
      <c r="AC150" s="11"/>
      <c r="AD150" s="11"/>
    </row>
    <row r="151" ht="13.55" customHeight="1">
      <c r="A151" s="10"/>
      <c r="B151" s="11"/>
      <c r="C151" s="11"/>
      <c r="D151" s="11"/>
      <c r="E151" s="11"/>
      <c r="F151" s="11"/>
      <c r="G151" s="11"/>
      <c r="H151" s="11"/>
      <c r="I151" s="11"/>
      <c r="J151" s="11"/>
      <c r="K151" s="11"/>
      <c r="L151" s="11"/>
      <c r="M151" s="11"/>
      <c r="N151" s="11"/>
      <c r="O151" s="11"/>
      <c r="P151" s="11"/>
      <c r="Q151" s="11"/>
      <c r="R151" s="11"/>
      <c r="S151" s="11"/>
      <c r="T151" s="11"/>
      <c r="U151" s="11"/>
      <c r="V151" s="1058"/>
      <c r="W151" t="s" s="1035">
        <v>675</v>
      </c>
      <c r="X151" s="1040"/>
      <c r="Y151" s="949"/>
      <c r="Z151" s="11"/>
      <c r="AA151" s="11"/>
      <c r="AB151" s="11"/>
      <c r="AC151" s="11"/>
      <c r="AD151" s="11"/>
    </row>
    <row r="152" ht="13.55" customHeight="1">
      <c r="A152" s="10"/>
      <c r="B152" s="11"/>
      <c r="C152" s="11"/>
      <c r="D152" s="11"/>
      <c r="E152" s="11"/>
      <c r="F152" s="11"/>
      <c r="G152" s="11"/>
      <c r="H152" s="11"/>
      <c r="I152" s="11"/>
      <c r="J152" s="11"/>
      <c r="K152" s="11"/>
      <c r="L152" s="11"/>
      <c r="M152" s="11"/>
      <c r="N152" s="11"/>
      <c r="O152" s="11"/>
      <c r="P152" s="11"/>
      <c r="Q152" s="11"/>
      <c r="R152" s="11"/>
      <c r="S152" s="11"/>
      <c r="T152" s="11"/>
      <c r="U152" s="11"/>
      <c r="V152" s="1058"/>
      <c r="W152" t="s" s="1035">
        <v>676</v>
      </c>
      <c r="X152" s="1040"/>
      <c r="Y152" s="949"/>
      <c r="Z152" s="11"/>
      <c r="AA152" s="11"/>
      <c r="AB152" s="11"/>
      <c r="AC152" s="11"/>
      <c r="AD152" s="11"/>
    </row>
    <row r="153" ht="13.55" customHeight="1">
      <c r="A153" s="10"/>
      <c r="B153" s="11"/>
      <c r="C153" s="11"/>
      <c r="D153" s="11"/>
      <c r="E153" s="11"/>
      <c r="F153" s="11"/>
      <c r="G153" s="11"/>
      <c r="H153" s="11"/>
      <c r="I153" s="11"/>
      <c r="J153" s="11"/>
      <c r="K153" s="11"/>
      <c r="L153" s="11"/>
      <c r="M153" s="11"/>
      <c r="N153" s="11"/>
      <c r="O153" s="11"/>
      <c r="P153" s="11"/>
      <c r="Q153" s="11"/>
      <c r="R153" s="11"/>
      <c r="S153" s="11"/>
      <c r="T153" s="11"/>
      <c r="U153" s="11"/>
      <c r="V153" s="1058"/>
      <c r="W153" t="s" s="1035">
        <v>677</v>
      </c>
      <c r="X153" s="1040"/>
      <c r="Y153" s="949"/>
      <c r="Z153" s="11"/>
      <c r="AA153" s="11"/>
      <c r="AB153" s="11"/>
      <c r="AC153" s="11"/>
      <c r="AD153" s="11"/>
    </row>
    <row r="154" ht="13.55" customHeight="1">
      <c r="A154" s="10"/>
      <c r="B154" s="11"/>
      <c r="C154" s="11"/>
      <c r="D154" s="11"/>
      <c r="E154" s="11"/>
      <c r="F154" s="11"/>
      <c r="G154" s="11"/>
      <c r="H154" s="11"/>
      <c r="I154" s="11"/>
      <c r="J154" s="11"/>
      <c r="K154" s="11"/>
      <c r="L154" s="11"/>
      <c r="M154" s="11"/>
      <c r="N154" s="11"/>
      <c r="O154" s="11"/>
      <c r="P154" s="11"/>
      <c r="Q154" s="11"/>
      <c r="R154" s="11"/>
      <c r="S154" s="11"/>
      <c r="T154" s="11"/>
      <c r="U154" s="11"/>
      <c r="V154" s="1058"/>
      <c r="W154" t="s" s="1035">
        <v>678</v>
      </c>
      <c r="X154" s="1040"/>
      <c r="Y154" s="949"/>
      <c r="Z154" s="11"/>
      <c r="AA154" s="11"/>
      <c r="AB154" s="11"/>
      <c r="AC154" s="11"/>
      <c r="AD154" s="11"/>
    </row>
    <row r="155" ht="13.55" customHeight="1">
      <c r="A155" s="10"/>
      <c r="B155" s="11"/>
      <c r="C155" s="11"/>
      <c r="D155" s="11"/>
      <c r="E155" s="11"/>
      <c r="F155" s="11"/>
      <c r="G155" s="11"/>
      <c r="H155" s="11"/>
      <c r="I155" s="11"/>
      <c r="J155" s="11"/>
      <c r="K155" s="11"/>
      <c r="L155" s="11"/>
      <c r="M155" s="11"/>
      <c r="N155" s="11"/>
      <c r="O155" s="11"/>
      <c r="P155" s="11"/>
      <c r="Q155" s="11"/>
      <c r="R155" s="11"/>
      <c r="S155" s="11"/>
      <c r="T155" s="11"/>
      <c r="U155" s="11"/>
      <c r="V155" s="1058"/>
      <c r="W155" t="s" s="1035">
        <v>679</v>
      </c>
      <c r="X155" s="1040"/>
      <c r="Y155" s="949"/>
      <c r="Z155" s="11"/>
      <c r="AA155" s="11"/>
      <c r="AB155" s="11"/>
      <c r="AC155" s="11"/>
      <c r="AD155" s="11"/>
    </row>
    <row r="156" ht="13.55" customHeight="1">
      <c r="A156" s="10"/>
      <c r="B156" s="11"/>
      <c r="C156" s="11"/>
      <c r="D156" s="11"/>
      <c r="E156" s="11"/>
      <c r="F156" s="11"/>
      <c r="G156" s="11"/>
      <c r="H156" s="11"/>
      <c r="I156" s="11"/>
      <c r="J156" s="11"/>
      <c r="K156" s="11"/>
      <c r="L156" s="11"/>
      <c r="M156" s="11"/>
      <c r="N156" s="11"/>
      <c r="O156" s="11"/>
      <c r="P156" s="11"/>
      <c r="Q156" s="11"/>
      <c r="R156" s="11"/>
      <c r="S156" s="11"/>
      <c r="T156" s="11"/>
      <c r="U156" s="11"/>
      <c r="V156" s="1058"/>
      <c r="W156" t="s" s="1035">
        <v>680</v>
      </c>
      <c r="X156" s="1040"/>
      <c r="Y156" s="949"/>
      <c r="Z156" s="11"/>
      <c r="AA156" s="11"/>
      <c r="AB156" s="11"/>
      <c r="AC156" s="11"/>
      <c r="AD156" s="11"/>
    </row>
    <row r="157" ht="13.55" customHeight="1">
      <c r="A157" s="10"/>
      <c r="B157" s="11"/>
      <c r="C157" s="11"/>
      <c r="D157" s="11"/>
      <c r="E157" s="11"/>
      <c r="F157" s="11"/>
      <c r="G157" s="11"/>
      <c r="H157" s="11"/>
      <c r="I157" s="11"/>
      <c r="J157" s="11"/>
      <c r="K157" s="11"/>
      <c r="L157" s="11"/>
      <c r="M157" s="11"/>
      <c r="N157" s="11"/>
      <c r="O157" s="11"/>
      <c r="P157" s="11"/>
      <c r="Q157" s="11"/>
      <c r="R157" s="11"/>
      <c r="S157" s="11"/>
      <c r="T157" s="11"/>
      <c r="U157" s="11"/>
      <c r="V157" s="1058"/>
      <c r="W157" t="s" s="1035">
        <v>681</v>
      </c>
      <c r="X157" s="1040"/>
      <c r="Y157" s="949"/>
      <c r="Z157" s="11"/>
      <c r="AA157" s="11"/>
      <c r="AB157" s="11"/>
      <c r="AC157" s="11"/>
      <c r="AD157" s="11"/>
    </row>
    <row r="158" ht="13.55" customHeight="1">
      <c r="A158" s="10"/>
      <c r="B158" s="11"/>
      <c r="C158" s="11"/>
      <c r="D158" s="11"/>
      <c r="E158" s="11"/>
      <c r="F158" s="11"/>
      <c r="G158" s="11"/>
      <c r="H158" s="11"/>
      <c r="I158" s="11"/>
      <c r="J158" s="11"/>
      <c r="K158" s="11"/>
      <c r="L158" s="11"/>
      <c r="M158" s="11"/>
      <c r="N158" s="11"/>
      <c r="O158" s="11"/>
      <c r="P158" s="11"/>
      <c r="Q158" s="11"/>
      <c r="R158" s="11"/>
      <c r="S158" s="11"/>
      <c r="T158" s="11"/>
      <c r="U158" s="11"/>
      <c r="V158" s="1058"/>
      <c r="W158" t="s" s="1035">
        <v>682</v>
      </c>
      <c r="X158" s="1040"/>
      <c r="Y158" s="949"/>
      <c r="Z158" s="11"/>
      <c r="AA158" s="11"/>
      <c r="AB158" s="11"/>
      <c r="AC158" s="11"/>
      <c r="AD158" s="11"/>
    </row>
    <row r="159" ht="13.55" customHeight="1">
      <c r="A159" s="10"/>
      <c r="B159" s="11"/>
      <c r="C159" s="11"/>
      <c r="D159" s="11"/>
      <c r="E159" s="11"/>
      <c r="F159" s="11"/>
      <c r="G159" s="11"/>
      <c r="H159" s="11"/>
      <c r="I159" s="11"/>
      <c r="J159" s="11"/>
      <c r="K159" s="11"/>
      <c r="L159" s="11"/>
      <c r="M159" s="11"/>
      <c r="N159" s="11"/>
      <c r="O159" s="11"/>
      <c r="P159" s="11"/>
      <c r="Q159" s="11"/>
      <c r="R159" s="11"/>
      <c r="S159" s="11"/>
      <c r="T159" s="11"/>
      <c r="U159" s="11"/>
      <c r="V159" s="1058"/>
      <c r="W159" t="s" s="1035">
        <v>683</v>
      </c>
      <c r="X159" s="1040"/>
      <c r="Y159" s="949"/>
      <c r="Z159" s="11"/>
      <c r="AA159" s="11"/>
      <c r="AB159" s="11"/>
      <c r="AC159" s="11"/>
      <c r="AD159" s="11"/>
    </row>
    <row r="160" ht="13.55" customHeight="1">
      <c r="A160" s="10"/>
      <c r="B160" s="11"/>
      <c r="C160" s="11"/>
      <c r="D160" s="11"/>
      <c r="E160" s="11"/>
      <c r="F160" s="11"/>
      <c r="G160" s="11"/>
      <c r="H160" s="11"/>
      <c r="I160" s="11"/>
      <c r="J160" s="11"/>
      <c r="K160" s="11"/>
      <c r="L160" s="11"/>
      <c r="M160" s="11"/>
      <c r="N160" s="11"/>
      <c r="O160" s="11"/>
      <c r="P160" s="11"/>
      <c r="Q160" s="11"/>
      <c r="R160" s="11"/>
      <c r="S160" s="11"/>
      <c r="T160" s="11"/>
      <c r="U160" s="11"/>
      <c r="V160" s="1058"/>
      <c r="W160" t="s" s="1035">
        <v>684</v>
      </c>
      <c r="X160" s="1040"/>
      <c r="Y160" s="949"/>
      <c r="Z160" s="11"/>
      <c r="AA160" s="11"/>
      <c r="AB160" s="11"/>
      <c r="AC160" s="11"/>
      <c r="AD160" s="11"/>
    </row>
    <row r="161" ht="13.55" customHeight="1">
      <c r="A161" s="10"/>
      <c r="B161" s="11"/>
      <c r="C161" s="11"/>
      <c r="D161" s="11"/>
      <c r="E161" s="11"/>
      <c r="F161" s="11"/>
      <c r="G161" s="11"/>
      <c r="H161" s="11"/>
      <c r="I161" s="11"/>
      <c r="J161" s="11"/>
      <c r="K161" s="11"/>
      <c r="L161" s="11"/>
      <c r="M161" s="11"/>
      <c r="N161" s="11"/>
      <c r="O161" s="11"/>
      <c r="P161" s="11"/>
      <c r="Q161" s="11"/>
      <c r="R161" s="11"/>
      <c r="S161" s="11"/>
      <c r="T161" s="11"/>
      <c r="U161" s="11"/>
      <c r="V161" s="1058"/>
      <c r="W161" t="s" s="1035">
        <v>685</v>
      </c>
      <c r="X161" s="1040"/>
      <c r="Y161" s="949"/>
      <c r="Z161" s="11"/>
      <c r="AA161" s="11"/>
      <c r="AB161" s="11"/>
      <c r="AC161" s="11"/>
      <c r="AD161" s="11"/>
    </row>
    <row r="162" ht="13.55" customHeight="1">
      <c r="A162" s="10"/>
      <c r="B162" s="11"/>
      <c r="C162" s="11"/>
      <c r="D162" s="11"/>
      <c r="E162" s="11"/>
      <c r="F162" s="11"/>
      <c r="G162" s="11"/>
      <c r="H162" s="11"/>
      <c r="I162" s="11"/>
      <c r="J162" s="11"/>
      <c r="K162" s="11"/>
      <c r="L162" s="11"/>
      <c r="M162" s="11"/>
      <c r="N162" s="11"/>
      <c r="O162" s="11"/>
      <c r="P162" s="11"/>
      <c r="Q162" s="11"/>
      <c r="R162" s="11"/>
      <c r="S162" s="11"/>
      <c r="T162" s="11"/>
      <c r="U162" s="11"/>
      <c r="V162" s="1058"/>
      <c r="W162" t="s" s="1035">
        <v>686</v>
      </c>
      <c r="X162" s="1040"/>
      <c r="Y162" s="949"/>
      <c r="Z162" s="11"/>
      <c r="AA162" s="11"/>
      <c r="AB162" s="11"/>
      <c r="AC162" s="11"/>
      <c r="AD162" s="11"/>
    </row>
    <row r="163" ht="13.55" customHeight="1">
      <c r="A163" s="10"/>
      <c r="B163" s="11"/>
      <c r="C163" s="11"/>
      <c r="D163" s="11"/>
      <c r="E163" s="11"/>
      <c r="F163" s="11"/>
      <c r="G163" s="11"/>
      <c r="H163" s="11"/>
      <c r="I163" s="11"/>
      <c r="J163" s="11"/>
      <c r="K163" s="11"/>
      <c r="L163" s="11"/>
      <c r="M163" s="11"/>
      <c r="N163" s="11"/>
      <c r="O163" s="11"/>
      <c r="P163" s="11"/>
      <c r="Q163" s="11"/>
      <c r="R163" s="11"/>
      <c r="S163" s="11"/>
      <c r="T163" s="11"/>
      <c r="U163" s="11"/>
      <c r="V163" s="1058"/>
      <c r="W163" t="s" s="1035">
        <v>687</v>
      </c>
      <c r="X163" s="1040"/>
      <c r="Y163" s="949"/>
      <c r="Z163" s="11"/>
      <c r="AA163" s="11"/>
      <c r="AB163" s="11"/>
      <c r="AC163" s="11"/>
      <c r="AD163" s="11"/>
    </row>
    <row r="164" ht="13.55" customHeight="1">
      <c r="A164" s="10"/>
      <c r="B164" s="11"/>
      <c r="C164" s="11"/>
      <c r="D164" s="11"/>
      <c r="E164" s="11"/>
      <c r="F164" s="11"/>
      <c r="G164" s="11"/>
      <c r="H164" s="11"/>
      <c r="I164" s="11"/>
      <c r="J164" s="11"/>
      <c r="K164" s="11"/>
      <c r="L164" s="11"/>
      <c r="M164" s="11"/>
      <c r="N164" s="11"/>
      <c r="O164" s="11"/>
      <c r="P164" s="11"/>
      <c r="Q164" s="11"/>
      <c r="R164" s="11"/>
      <c r="S164" s="11"/>
      <c r="T164" s="11"/>
      <c r="U164" s="11"/>
      <c r="V164" s="1058"/>
      <c r="W164" t="s" s="1035">
        <v>688</v>
      </c>
      <c r="X164" s="1040"/>
      <c r="Y164" s="949"/>
      <c r="Z164" s="11"/>
      <c r="AA164" s="11"/>
      <c r="AB164" s="11"/>
      <c r="AC164" s="11"/>
      <c r="AD164" s="11"/>
    </row>
    <row r="165" ht="13.55" customHeight="1">
      <c r="A165" s="10"/>
      <c r="B165" s="11"/>
      <c r="C165" s="11"/>
      <c r="D165" s="11"/>
      <c r="E165" s="11"/>
      <c r="F165" s="11"/>
      <c r="G165" s="11"/>
      <c r="H165" s="11"/>
      <c r="I165" s="11"/>
      <c r="J165" s="11"/>
      <c r="K165" s="11"/>
      <c r="L165" s="11"/>
      <c r="M165" s="11"/>
      <c r="N165" s="11"/>
      <c r="O165" s="11"/>
      <c r="P165" s="11"/>
      <c r="Q165" s="11"/>
      <c r="R165" s="11"/>
      <c r="S165" s="11"/>
      <c r="T165" s="11"/>
      <c r="U165" s="11"/>
      <c r="V165" s="1058"/>
      <c r="W165" t="s" s="1035">
        <v>689</v>
      </c>
      <c r="X165" s="1040"/>
      <c r="Y165" s="949"/>
      <c r="Z165" s="11"/>
      <c r="AA165" s="11"/>
      <c r="AB165" s="11"/>
      <c r="AC165" s="11"/>
      <c r="AD165" s="11"/>
    </row>
    <row r="166" ht="13.55" customHeight="1">
      <c r="A166" s="10"/>
      <c r="B166" s="11"/>
      <c r="C166" s="11"/>
      <c r="D166" s="11"/>
      <c r="E166" s="11"/>
      <c r="F166" s="11"/>
      <c r="G166" s="11"/>
      <c r="H166" s="11"/>
      <c r="I166" s="11"/>
      <c r="J166" s="11"/>
      <c r="K166" s="11"/>
      <c r="L166" s="11"/>
      <c r="M166" s="11"/>
      <c r="N166" s="11"/>
      <c r="O166" s="11"/>
      <c r="P166" s="11"/>
      <c r="Q166" s="11"/>
      <c r="R166" s="11"/>
      <c r="S166" s="11"/>
      <c r="T166" s="11"/>
      <c r="U166" s="11"/>
      <c r="V166" s="1058"/>
      <c r="W166" t="s" s="1035">
        <v>690</v>
      </c>
      <c r="X166" s="1040"/>
      <c r="Y166" s="949"/>
      <c r="Z166" s="11"/>
      <c r="AA166" s="11"/>
      <c r="AB166" s="11"/>
      <c r="AC166" s="11"/>
      <c r="AD166" s="11"/>
    </row>
    <row r="167" ht="13.55" customHeight="1">
      <c r="A167" s="10"/>
      <c r="B167" s="11"/>
      <c r="C167" s="11"/>
      <c r="D167" s="11"/>
      <c r="E167" s="11"/>
      <c r="F167" s="11"/>
      <c r="G167" s="11"/>
      <c r="H167" s="11"/>
      <c r="I167" s="11"/>
      <c r="J167" s="11"/>
      <c r="K167" s="11"/>
      <c r="L167" s="11"/>
      <c r="M167" s="11"/>
      <c r="N167" s="11"/>
      <c r="O167" s="11"/>
      <c r="P167" s="11"/>
      <c r="Q167" s="11"/>
      <c r="R167" s="11"/>
      <c r="S167" s="11"/>
      <c r="T167" s="11"/>
      <c r="U167" s="11"/>
      <c r="V167" s="1058"/>
      <c r="W167" t="s" s="1035">
        <v>691</v>
      </c>
      <c r="X167" s="1040"/>
      <c r="Y167" s="949"/>
      <c r="Z167" s="11"/>
      <c r="AA167" s="11"/>
      <c r="AB167" s="11"/>
      <c r="AC167" s="11"/>
      <c r="AD167" s="11"/>
    </row>
    <row r="168" ht="13.55" customHeight="1">
      <c r="A168" s="10"/>
      <c r="B168" s="11"/>
      <c r="C168" s="11"/>
      <c r="D168" s="11"/>
      <c r="E168" s="11"/>
      <c r="F168" s="11"/>
      <c r="G168" s="11"/>
      <c r="H168" s="11"/>
      <c r="I168" s="11"/>
      <c r="J168" s="11"/>
      <c r="K168" s="11"/>
      <c r="L168" s="11"/>
      <c r="M168" s="11"/>
      <c r="N168" s="11"/>
      <c r="O168" s="11"/>
      <c r="P168" s="11"/>
      <c r="Q168" s="11"/>
      <c r="R168" s="11"/>
      <c r="S168" s="11"/>
      <c r="T168" s="11"/>
      <c r="U168" s="11"/>
      <c r="V168" s="1058"/>
      <c r="W168" t="s" s="1035">
        <v>692</v>
      </c>
      <c r="X168" s="1040"/>
      <c r="Y168" s="949"/>
      <c r="Z168" s="11"/>
      <c r="AA168" s="11"/>
      <c r="AB168" s="11"/>
      <c r="AC168" s="11"/>
      <c r="AD168" s="11"/>
    </row>
    <row r="169" ht="13.55" customHeight="1">
      <c r="A169" s="10"/>
      <c r="B169" s="11"/>
      <c r="C169" s="11"/>
      <c r="D169" s="11"/>
      <c r="E169" s="11"/>
      <c r="F169" s="11"/>
      <c r="G169" s="11"/>
      <c r="H169" s="11"/>
      <c r="I169" s="11"/>
      <c r="J169" s="11"/>
      <c r="K169" s="11"/>
      <c r="L169" s="11"/>
      <c r="M169" s="11"/>
      <c r="N169" s="11"/>
      <c r="O169" s="11"/>
      <c r="P169" s="11"/>
      <c r="Q169" s="11"/>
      <c r="R169" s="11"/>
      <c r="S169" s="11"/>
      <c r="T169" s="11"/>
      <c r="U169" s="11"/>
      <c r="V169" s="1058"/>
      <c r="W169" t="s" s="1035">
        <v>693</v>
      </c>
      <c r="X169" s="1040"/>
      <c r="Y169" s="949"/>
      <c r="Z169" s="11"/>
      <c r="AA169" s="11"/>
      <c r="AB169" s="11"/>
      <c r="AC169" s="11"/>
      <c r="AD169" s="11"/>
    </row>
    <row r="170" ht="13.55" customHeight="1">
      <c r="A170" s="10"/>
      <c r="B170" s="11"/>
      <c r="C170" s="11"/>
      <c r="D170" s="11"/>
      <c r="E170" s="11"/>
      <c r="F170" s="11"/>
      <c r="G170" s="11"/>
      <c r="H170" s="11"/>
      <c r="I170" s="11"/>
      <c r="J170" s="11"/>
      <c r="K170" s="11"/>
      <c r="L170" s="11"/>
      <c r="M170" s="11"/>
      <c r="N170" s="11"/>
      <c r="O170" s="11"/>
      <c r="P170" s="11"/>
      <c r="Q170" s="11"/>
      <c r="R170" s="11"/>
      <c r="S170" s="11"/>
      <c r="T170" s="11"/>
      <c r="U170" s="11"/>
      <c r="V170" s="1058"/>
      <c r="W170" t="s" s="1035">
        <v>694</v>
      </c>
      <c r="X170" s="1040"/>
      <c r="Y170" s="949"/>
      <c r="Z170" s="11"/>
      <c r="AA170" s="11"/>
      <c r="AB170" s="11"/>
      <c r="AC170" s="11"/>
      <c r="AD170" s="11"/>
    </row>
    <row r="171" ht="13.55" customHeight="1">
      <c r="A171" s="10"/>
      <c r="B171" s="11"/>
      <c r="C171" s="11"/>
      <c r="D171" s="11"/>
      <c r="E171" s="11"/>
      <c r="F171" s="11"/>
      <c r="G171" s="11"/>
      <c r="H171" s="11"/>
      <c r="I171" s="11"/>
      <c r="J171" s="11"/>
      <c r="K171" s="11"/>
      <c r="L171" s="11"/>
      <c r="M171" s="11"/>
      <c r="N171" s="11"/>
      <c r="O171" s="11"/>
      <c r="P171" s="11"/>
      <c r="Q171" s="11"/>
      <c r="R171" s="11"/>
      <c r="S171" s="11"/>
      <c r="T171" s="11"/>
      <c r="U171" s="11"/>
      <c r="V171" s="1058"/>
      <c r="W171" t="s" s="1035">
        <v>695</v>
      </c>
      <c r="X171" s="1040"/>
      <c r="Y171" s="949"/>
      <c r="Z171" s="11"/>
      <c r="AA171" s="11"/>
      <c r="AB171" s="11"/>
      <c r="AC171" s="11"/>
      <c r="AD171" s="11"/>
    </row>
    <row r="172" ht="13.55" customHeight="1">
      <c r="A172" s="10"/>
      <c r="B172" s="11"/>
      <c r="C172" s="11"/>
      <c r="D172" s="11"/>
      <c r="E172" s="11"/>
      <c r="F172" s="11"/>
      <c r="G172" s="11"/>
      <c r="H172" s="11"/>
      <c r="I172" s="11"/>
      <c r="J172" s="11"/>
      <c r="K172" s="11"/>
      <c r="L172" s="11"/>
      <c r="M172" s="11"/>
      <c r="N172" s="11"/>
      <c r="O172" s="11"/>
      <c r="P172" s="11"/>
      <c r="Q172" s="11"/>
      <c r="R172" s="11"/>
      <c r="S172" s="11"/>
      <c r="T172" s="11"/>
      <c r="U172" s="11"/>
      <c r="V172" s="1058"/>
      <c r="W172" t="s" s="1035">
        <v>696</v>
      </c>
      <c r="X172" s="1040"/>
      <c r="Y172" s="949"/>
      <c r="Z172" s="11"/>
      <c r="AA172" s="11"/>
      <c r="AB172" s="11"/>
      <c r="AC172" s="11"/>
      <c r="AD172" s="11"/>
    </row>
    <row r="173" ht="13.55" customHeight="1">
      <c r="A173" s="10"/>
      <c r="B173" s="11"/>
      <c r="C173" s="11"/>
      <c r="D173" s="11"/>
      <c r="E173" s="11"/>
      <c r="F173" s="11"/>
      <c r="G173" s="11"/>
      <c r="H173" s="11"/>
      <c r="I173" s="11"/>
      <c r="J173" s="11"/>
      <c r="K173" s="11"/>
      <c r="L173" s="11"/>
      <c r="M173" s="11"/>
      <c r="N173" s="11"/>
      <c r="O173" s="11"/>
      <c r="P173" s="11"/>
      <c r="Q173" s="11"/>
      <c r="R173" s="11"/>
      <c r="S173" s="11"/>
      <c r="T173" s="11"/>
      <c r="U173" s="11"/>
      <c r="V173" s="1058"/>
      <c r="W173" t="s" s="1035">
        <v>697</v>
      </c>
      <c r="X173" s="1040"/>
      <c r="Y173" s="949"/>
      <c r="Z173" s="11"/>
      <c r="AA173" s="11"/>
      <c r="AB173" s="11"/>
      <c r="AC173" s="11"/>
      <c r="AD173" s="11"/>
    </row>
    <row r="174" ht="13.55" customHeight="1">
      <c r="A174" s="10"/>
      <c r="B174" s="11"/>
      <c r="C174" s="11"/>
      <c r="D174" s="11"/>
      <c r="E174" s="11"/>
      <c r="F174" s="11"/>
      <c r="G174" s="11"/>
      <c r="H174" s="11"/>
      <c r="I174" s="11"/>
      <c r="J174" s="11"/>
      <c r="K174" s="11"/>
      <c r="L174" s="11"/>
      <c r="M174" s="11"/>
      <c r="N174" s="11"/>
      <c r="O174" s="11"/>
      <c r="P174" s="11"/>
      <c r="Q174" s="11"/>
      <c r="R174" s="11"/>
      <c r="S174" s="11"/>
      <c r="T174" s="11"/>
      <c r="U174" s="11"/>
      <c r="V174" s="1058"/>
      <c r="W174" t="s" s="1035">
        <v>698</v>
      </c>
      <c r="X174" s="1040"/>
      <c r="Y174" s="949"/>
      <c r="Z174" s="11"/>
      <c r="AA174" s="11"/>
      <c r="AB174" s="11"/>
      <c r="AC174" s="11"/>
      <c r="AD174" s="11"/>
    </row>
    <row r="175" ht="13.55" customHeight="1">
      <c r="A175" s="10"/>
      <c r="B175" s="11"/>
      <c r="C175" s="11"/>
      <c r="D175" s="11"/>
      <c r="E175" s="11"/>
      <c r="F175" s="11"/>
      <c r="G175" s="11"/>
      <c r="H175" s="11"/>
      <c r="I175" s="11"/>
      <c r="J175" s="11"/>
      <c r="K175" s="11"/>
      <c r="L175" s="11"/>
      <c r="M175" s="11"/>
      <c r="N175" s="11"/>
      <c r="O175" s="11"/>
      <c r="P175" s="11"/>
      <c r="Q175" s="11"/>
      <c r="R175" s="11"/>
      <c r="S175" s="11"/>
      <c r="T175" s="11"/>
      <c r="U175" s="11"/>
      <c r="V175" s="1058"/>
      <c r="W175" t="s" s="1035">
        <v>699</v>
      </c>
      <c r="X175" s="1040"/>
      <c r="Y175" s="949"/>
      <c r="Z175" s="11"/>
      <c r="AA175" s="11"/>
      <c r="AB175" s="11"/>
      <c r="AC175" s="11"/>
      <c r="AD175" s="11"/>
    </row>
    <row r="176" ht="13.55" customHeight="1">
      <c r="A176" s="10"/>
      <c r="B176" s="11"/>
      <c r="C176" s="11"/>
      <c r="D176" s="11"/>
      <c r="E176" s="11"/>
      <c r="F176" s="11"/>
      <c r="G176" s="11"/>
      <c r="H176" s="11"/>
      <c r="I176" s="11"/>
      <c r="J176" s="11"/>
      <c r="K176" s="11"/>
      <c r="L176" s="11"/>
      <c r="M176" s="11"/>
      <c r="N176" s="11"/>
      <c r="O176" s="11"/>
      <c r="P176" s="11"/>
      <c r="Q176" s="11"/>
      <c r="R176" s="11"/>
      <c r="S176" s="11"/>
      <c r="T176" s="11"/>
      <c r="U176" s="11"/>
      <c r="V176" s="1058"/>
      <c r="W176" t="s" s="1035">
        <v>700</v>
      </c>
      <c r="X176" s="1040"/>
      <c r="Y176" s="949"/>
      <c r="Z176" s="11"/>
      <c r="AA176" s="11"/>
      <c r="AB176" s="11"/>
      <c r="AC176" s="11"/>
      <c r="AD176" s="11"/>
    </row>
    <row r="177" ht="13.55" customHeight="1">
      <c r="A177" s="10"/>
      <c r="B177" s="11"/>
      <c r="C177" s="11"/>
      <c r="D177" s="11"/>
      <c r="E177" s="11"/>
      <c r="F177" s="11"/>
      <c r="G177" s="11"/>
      <c r="H177" s="11"/>
      <c r="I177" s="11"/>
      <c r="J177" s="11"/>
      <c r="K177" s="11"/>
      <c r="L177" s="11"/>
      <c r="M177" s="11"/>
      <c r="N177" s="11"/>
      <c r="O177" s="11"/>
      <c r="P177" s="11"/>
      <c r="Q177" s="11"/>
      <c r="R177" s="11"/>
      <c r="S177" s="11"/>
      <c r="T177" s="11"/>
      <c r="U177" s="11"/>
      <c r="V177" s="1058"/>
      <c r="W177" t="s" s="1035">
        <v>701</v>
      </c>
      <c r="X177" s="1040"/>
      <c r="Y177" s="949"/>
      <c r="Z177" s="11"/>
      <c r="AA177" s="11"/>
      <c r="AB177" s="11"/>
      <c r="AC177" s="11"/>
      <c r="AD177" s="11"/>
    </row>
    <row r="178" ht="13.55" customHeight="1">
      <c r="A178" s="10"/>
      <c r="B178" s="11"/>
      <c r="C178" s="11"/>
      <c r="D178" s="11"/>
      <c r="E178" s="11"/>
      <c r="F178" s="11"/>
      <c r="G178" s="11"/>
      <c r="H178" s="11"/>
      <c r="I178" s="11"/>
      <c r="J178" s="11"/>
      <c r="K178" s="11"/>
      <c r="L178" s="11"/>
      <c r="M178" s="11"/>
      <c r="N178" s="11"/>
      <c r="O178" s="11"/>
      <c r="P178" s="11"/>
      <c r="Q178" s="11"/>
      <c r="R178" s="11"/>
      <c r="S178" s="11"/>
      <c r="T178" s="11"/>
      <c r="U178" s="11"/>
      <c r="V178" s="1058"/>
      <c r="W178" t="s" s="1035">
        <v>702</v>
      </c>
      <c r="X178" s="1040"/>
      <c r="Y178" s="949"/>
      <c r="Z178" s="11"/>
      <c r="AA178" s="11"/>
      <c r="AB178" s="11"/>
      <c r="AC178" s="11"/>
      <c r="AD178" s="11"/>
    </row>
    <row r="179" ht="13.55" customHeight="1">
      <c r="A179" s="10"/>
      <c r="B179" s="11"/>
      <c r="C179" s="11"/>
      <c r="D179" s="11"/>
      <c r="E179" s="11"/>
      <c r="F179" s="11"/>
      <c r="G179" s="11"/>
      <c r="H179" s="11"/>
      <c r="I179" s="11"/>
      <c r="J179" s="11"/>
      <c r="K179" s="11"/>
      <c r="L179" s="11"/>
      <c r="M179" s="11"/>
      <c r="N179" s="11"/>
      <c r="O179" s="11"/>
      <c r="P179" s="11"/>
      <c r="Q179" s="11"/>
      <c r="R179" s="11"/>
      <c r="S179" s="11"/>
      <c r="T179" s="11"/>
      <c r="U179" s="11"/>
      <c r="V179" s="1058"/>
      <c r="W179" t="s" s="1035">
        <v>703</v>
      </c>
      <c r="X179" s="1040"/>
      <c r="Y179" s="949"/>
      <c r="Z179" s="11"/>
      <c r="AA179" s="11"/>
      <c r="AB179" s="11"/>
      <c r="AC179" s="11"/>
      <c r="AD179" s="11"/>
    </row>
    <row r="180" ht="13.55" customHeight="1">
      <c r="A180" s="10"/>
      <c r="B180" s="11"/>
      <c r="C180" s="11"/>
      <c r="D180" s="11"/>
      <c r="E180" s="11"/>
      <c r="F180" s="11"/>
      <c r="G180" s="11"/>
      <c r="H180" s="11"/>
      <c r="I180" s="11"/>
      <c r="J180" s="11"/>
      <c r="K180" s="11"/>
      <c r="L180" s="11"/>
      <c r="M180" s="11"/>
      <c r="N180" s="11"/>
      <c r="O180" s="11"/>
      <c r="P180" s="11"/>
      <c r="Q180" s="11"/>
      <c r="R180" s="11"/>
      <c r="S180" s="11"/>
      <c r="T180" s="11"/>
      <c r="U180" s="11"/>
      <c r="V180" s="1058"/>
      <c r="W180" t="s" s="1035">
        <v>704</v>
      </c>
      <c r="X180" s="1040"/>
      <c r="Y180" s="949"/>
      <c r="Z180" s="11"/>
      <c r="AA180" s="11"/>
      <c r="AB180" s="11"/>
      <c r="AC180" s="11"/>
      <c r="AD180" s="11"/>
    </row>
    <row r="181" ht="13.55" customHeight="1">
      <c r="A181" s="10"/>
      <c r="B181" s="11"/>
      <c r="C181" s="11"/>
      <c r="D181" s="11"/>
      <c r="E181" s="11"/>
      <c r="F181" s="11"/>
      <c r="G181" s="11"/>
      <c r="H181" s="11"/>
      <c r="I181" s="11"/>
      <c r="J181" s="11"/>
      <c r="K181" s="11"/>
      <c r="L181" s="11"/>
      <c r="M181" s="11"/>
      <c r="N181" s="11"/>
      <c r="O181" s="11"/>
      <c r="P181" s="11"/>
      <c r="Q181" s="11"/>
      <c r="R181" s="11"/>
      <c r="S181" s="11"/>
      <c r="T181" s="11"/>
      <c r="U181" s="11"/>
      <c r="V181" s="1058"/>
      <c r="W181" t="s" s="1035">
        <v>705</v>
      </c>
      <c r="X181" s="1040"/>
      <c r="Y181" s="949"/>
      <c r="Z181" s="11"/>
      <c r="AA181" s="11"/>
      <c r="AB181" s="11"/>
      <c r="AC181" s="11"/>
      <c r="AD181" s="11"/>
    </row>
    <row r="182" ht="13.55" customHeight="1">
      <c r="A182" s="10"/>
      <c r="B182" s="11"/>
      <c r="C182" s="11"/>
      <c r="D182" s="11"/>
      <c r="E182" s="11"/>
      <c r="F182" s="11"/>
      <c r="G182" s="11"/>
      <c r="H182" s="11"/>
      <c r="I182" s="11"/>
      <c r="J182" s="11"/>
      <c r="K182" s="11"/>
      <c r="L182" s="11"/>
      <c r="M182" s="11"/>
      <c r="N182" s="11"/>
      <c r="O182" s="11"/>
      <c r="P182" s="11"/>
      <c r="Q182" s="11"/>
      <c r="R182" s="11"/>
      <c r="S182" s="11"/>
      <c r="T182" s="11"/>
      <c r="U182" s="11"/>
      <c r="V182" s="1058"/>
      <c r="W182" t="s" s="1035">
        <v>706</v>
      </c>
      <c r="X182" s="1040"/>
      <c r="Y182" s="949"/>
      <c r="Z182" s="11"/>
      <c r="AA182" s="11"/>
      <c r="AB182" s="11"/>
      <c r="AC182" s="11"/>
      <c r="AD182" s="11"/>
    </row>
    <row r="183" ht="13.55" customHeight="1">
      <c r="A183" s="10"/>
      <c r="B183" s="11"/>
      <c r="C183" s="11"/>
      <c r="D183" s="11"/>
      <c r="E183" s="11"/>
      <c r="F183" s="11"/>
      <c r="G183" s="11"/>
      <c r="H183" s="11"/>
      <c r="I183" s="11"/>
      <c r="J183" s="11"/>
      <c r="K183" s="11"/>
      <c r="L183" s="11"/>
      <c r="M183" s="11"/>
      <c r="N183" s="11"/>
      <c r="O183" s="11"/>
      <c r="P183" s="11"/>
      <c r="Q183" s="11"/>
      <c r="R183" s="11"/>
      <c r="S183" s="11"/>
      <c r="T183" s="11"/>
      <c r="U183" s="11"/>
      <c r="V183" s="1058"/>
      <c r="W183" t="s" s="1035">
        <v>707</v>
      </c>
      <c r="X183" s="1040"/>
      <c r="Y183" s="949"/>
      <c r="Z183" s="11"/>
      <c r="AA183" s="11"/>
      <c r="AB183" s="11"/>
      <c r="AC183" s="11"/>
      <c r="AD183" s="11"/>
    </row>
    <row r="184" ht="13.55" customHeight="1">
      <c r="A184" s="10"/>
      <c r="B184" s="11"/>
      <c r="C184" s="11"/>
      <c r="D184" s="11"/>
      <c r="E184" s="11"/>
      <c r="F184" s="11"/>
      <c r="G184" s="11"/>
      <c r="H184" s="11"/>
      <c r="I184" s="11"/>
      <c r="J184" s="11"/>
      <c r="K184" s="11"/>
      <c r="L184" s="11"/>
      <c r="M184" s="11"/>
      <c r="N184" s="11"/>
      <c r="O184" s="11"/>
      <c r="P184" s="11"/>
      <c r="Q184" s="11"/>
      <c r="R184" s="11"/>
      <c r="S184" s="11"/>
      <c r="T184" s="11"/>
      <c r="U184" s="11"/>
      <c r="V184" s="1058"/>
      <c r="W184" t="s" s="1035">
        <v>708</v>
      </c>
      <c r="X184" s="1040"/>
      <c r="Y184" s="949"/>
      <c r="Z184" s="11"/>
      <c r="AA184" s="11"/>
      <c r="AB184" s="11"/>
      <c r="AC184" s="11"/>
      <c r="AD184" s="11"/>
    </row>
    <row r="185" ht="13.55" customHeight="1">
      <c r="A185" s="10"/>
      <c r="B185" s="11"/>
      <c r="C185" s="11"/>
      <c r="D185" s="11"/>
      <c r="E185" s="11"/>
      <c r="F185" s="11"/>
      <c r="G185" s="11"/>
      <c r="H185" s="11"/>
      <c r="I185" s="11"/>
      <c r="J185" s="11"/>
      <c r="K185" s="11"/>
      <c r="L185" s="11"/>
      <c r="M185" s="11"/>
      <c r="N185" s="11"/>
      <c r="O185" s="11"/>
      <c r="P185" s="11"/>
      <c r="Q185" s="11"/>
      <c r="R185" s="11"/>
      <c r="S185" s="11"/>
      <c r="T185" s="11"/>
      <c r="U185" s="11"/>
      <c r="V185" s="1058"/>
      <c r="W185" t="s" s="1035">
        <v>709</v>
      </c>
      <c r="X185" s="1040"/>
      <c r="Y185" s="949"/>
      <c r="Z185" s="11"/>
      <c r="AA185" s="11"/>
      <c r="AB185" s="11"/>
      <c r="AC185" s="11"/>
      <c r="AD185" s="11"/>
    </row>
    <row r="186" ht="13.55" customHeight="1">
      <c r="A186" s="10"/>
      <c r="B186" s="11"/>
      <c r="C186" s="11"/>
      <c r="D186" s="11"/>
      <c r="E186" s="11"/>
      <c r="F186" s="11"/>
      <c r="G186" s="11"/>
      <c r="H186" s="11"/>
      <c r="I186" s="11"/>
      <c r="J186" s="11"/>
      <c r="K186" s="11"/>
      <c r="L186" s="11"/>
      <c r="M186" s="11"/>
      <c r="N186" s="11"/>
      <c r="O186" s="11"/>
      <c r="P186" s="11"/>
      <c r="Q186" s="11"/>
      <c r="R186" s="11"/>
      <c r="S186" s="11"/>
      <c r="T186" s="11"/>
      <c r="U186" s="11"/>
      <c r="V186" s="1058"/>
      <c r="W186" t="s" s="1035">
        <v>710</v>
      </c>
      <c r="X186" s="1040"/>
      <c r="Y186" s="949"/>
      <c r="Z186" s="11"/>
      <c r="AA186" s="11"/>
      <c r="AB186" s="11"/>
      <c r="AC186" s="11"/>
      <c r="AD186" s="11"/>
    </row>
    <row r="187" ht="13.55" customHeight="1">
      <c r="A187" s="10"/>
      <c r="B187" s="11"/>
      <c r="C187" s="11"/>
      <c r="D187" s="11"/>
      <c r="E187" s="11"/>
      <c r="F187" s="11"/>
      <c r="G187" s="11"/>
      <c r="H187" s="11"/>
      <c r="I187" s="11"/>
      <c r="J187" s="11"/>
      <c r="K187" s="11"/>
      <c r="L187" s="11"/>
      <c r="M187" s="11"/>
      <c r="N187" s="11"/>
      <c r="O187" s="11"/>
      <c r="P187" s="11"/>
      <c r="Q187" s="11"/>
      <c r="R187" s="11"/>
      <c r="S187" s="11"/>
      <c r="T187" s="11"/>
      <c r="U187" s="11"/>
      <c r="V187" s="1058"/>
      <c r="W187" t="s" s="1035">
        <v>711</v>
      </c>
      <c r="X187" s="1040"/>
      <c r="Y187" s="949"/>
      <c r="Z187" s="11"/>
      <c r="AA187" s="11"/>
      <c r="AB187" s="11"/>
      <c r="AC187" s="11"/>
      <c r="AD187" s="11"/>
    </row>
    <row r="188" ht="13.55" customHeight="1">
      <c r="A188" s="10"/>
      <c r="B188" s="11"/>
      <c r="C188" s="11"/>
      <c r="D188" s="11"/>
      <c r="E188" s="11"/>
      <c r="F188" s="11"/>
      <c r="G188" s="11"/>
      <c r="H188" s="11"/>
      <c r="I188" s="11"/>
      <c r="J188" s="11"/>
      <c r="K188" s="11"/>
      <c r="L188" s="11"/>
      <c r="M188" s="11"/>
      <c r="N188" s="11"/>
      <c r="O188" s="11"/>
      <c r="P188" s="11"/>
      <c r="Q188" s="11"/>
      <c r="R188" s="11"/>
      <c r="S188" s="11"/>
      <c r="T188" s="11"/>
      <c r="U188" s="11"/>
      <c r="V188" s="1058"/>
      <c r="W188" t="s" s="1035">
        <v>712</v>
      </c>
      <c r="X188" s="1040"/>
      <c r="Y188" s="949"/>
      <c r="Z188" s="11"/>
      <c r="AA188" s="11"/>
      <c r="AB188" s="11"/>
      <c r="AC188" s="11"/>
      <c r="AD188" s="11"/>
    </row>
    <row r="189" ht="13.55" customHeight="1">
      <c r="A189" s="10"/>
      <c r="B189" s="11"/>
      <c r="C189" s="11"/>
      <c r="D189" s="11"/>
      <c r="E189" s="11"/>
      <c r="F189" s="11"/>
      <c r="G189" s="11"/>
      <c r="H189" s="11"/>
      <c r="I189" s="11"/>
      <c r="J189" s="11"/>
      <c r="K189" s="11"/>
      <c r="L189" s="11"/>
      <c r="M189" s="11"/>
      <c r="N189" s="11"/>
      <c r="O189" s="11"/>
      <c r="P189" s="11"/>
      <c r="Q189" s="11"/>
      <c r="R189" s="11"/>
      <c r="S189" s="11"/>
      <c r="T189" s="11"/>
      <c r="U189" s="11"/>
      <c r="V189" s="1058"/>
      <c r="W189" t="s" s="1035">
        <v>713</v>
      </c>
      <c r="X189" s="1040"/>
      <c r="Y189" s="949"/>
      <c r="Z189" s="11"/>
      <c r="AA189" s="11"/>
      <c r="AB189" s="11"/>
      <c r="AC189" s="11"/>
      <c r="AD189" s="11"/>
    </row>
    <row r="190" ht="13.55" customHeight="1">
      <c r="A190" s="10"/>
      <c r="B190" s="11"/>
      <c r="C190" s="11"/>
      <c r="D190" s="11"/>
      <c r="E190" s="11"/>
      <c r="F190" s="11"/>
      <c r="G190" s="11"/>
      <c r="H190" s="11"/>
      <c r="I190" s="11"/>
      <c r="J190" s="11"/>
      <c r="K190" s="11"/>
      <c r="L190" s="11"/>
      <c r="M190" s="11"/>
      <c r="N190" s="11"/>
      <c r="O190" s="11"/>
      <c r="P190" s="11"/>
      <c r="Q190" s="11"/>
      <c r="R190" s="11"/>
      <c r="S190" s="11"/>
      <c r="T190" s="11"/>
      <c r="U190" s="11"/>
      <c r="V190" s="1058"/>
      <c r="W190" t="s" s="1035">
        <v>714</v>
      </c>
      <c r="X190" s="1040"/>
      <c r="Y190" s="949"/>
      <c r="Z190" s="11"/>
      <c r="AA190" s="11"/>
      <c r="AB190" s="11"/>
      <c r="AC190" s="11"/>
      <c r="AD190" s="11"/>
    </row>
    <row r="191" ht="13.55" customHeight="1">
      <c r="A191" s="10"/>
      <c r="B191" s="11"/>
      <c r="C191" s="11"/>
      <c r="D191" s="11"/>
      <c r="E191" s="11"/>
      <c r="F191" s="11"/>
      <c r="G191" s="11"/>
      <c r="H191" s="11"/>
      <c r="I191" s="11"/>
      <c r="J191" s="11"/>
      <c r="K191" s="11"/>
      <c r="L191" s="11"/>
      <c r="M191" s="11"/>
      <c r="N191" s="11"/>
      <c r="O191" s="11"/>
      <c r="P191" s="11"/>
      <c r="Q191" s="11"/>
      <c r="R191" s="11"/>
      <c r="S191" s="11"/>
      <c r="T191" s="11"/>
      <c r="U191" s="11"/>
      <c r="V191" s="1058"/>
      <c r="W191" t="s" s="1035">
        <v>715</v>
      </c>
      <c r="X191" s="1040"/>
      <c r="Y191" s="949"/>
      <c r="Z191" s="11"/>
      <c r="AA191" s="11"/>
      <c r="AB191" s="11"/>
      <c r="AC191" s="11"/>
      <c r="AD191" s="11"/>
    </row>
    <row r="192" ht="13.55" customHeight="1">
      <c r="A192" s="10"/>
      <c r="B192" s="11"/>
      <c r="C192" s="11"/>
      <c r="D192" s="11"/>
      <c r="E192" s="11"/>
      <c r="F192" s="11"/>
      <c r="G192" s="11"/>
      <c r="H192" s="11"/>
      <c r="I192" s="11"/>
      <c r="J192" s="11"/>
      <c r="K192" s="11"/>
      <c r="L192" s="11"/>
      <c r="M192" s="11"/>
      <c r="N192" s="11"/>
      <c r="O192" s="11"/>
      <c r="P192" s="11"/>
      <c r="Q192" s="11"/>
      <c r="R192" s="11"/>
      <c r="S192" s="11"/>
      <c r="T192" s="11"/>
      <c r="U192" s="11"/>
      <c r="V192" s="1058"/>
      <c r="W192" t="s" s="1035">
        <v>716</v>
      </c>
      <c r="X192" s="1040"/>
      <c r="Y192" s="949"/>
      <c r="Z192" s="11"/>
      <c r="AA192" s="11"/>
      <c r="AB192" s="11"/>
      <c r="AC192" s="11"/>
      <c r="AD192" s="11"/>
    </row>
    <row r="193" ht="13.55" customHeight="1">
      <c r="A193" s="10"/>
      <c r="B193" s="11"/>
      <c r="C193" s="11"/>
      <c r="D193" s="11"/>
      <c r="E193" s="11"/>
      <c r="F193" s="11"/>
      <c r="G193" s="11"/>
      <c r="H193" s="11"/>
      <c r="I193" s="11"/>
      <c r="J193" s="11"/>
      <c r="K193" s="11"/>
      <c r="L193" s="11"/>
      <c r="M193" s="11"/>
      <c r="N193" s="11"/>
      <c r="O193" s="11"/>
      <c r="P193" s="11"/>
      <c r="Q193" s="11"/>
      <c r="R193" s="11"/>
      <c r="S193" s="11"/>
      <c r="T193" s="11"/>
      <c r="U193" s="11"/>
      <c r="V193" s="1058"/>
      <c r="W193" t="s" s="1035">
        <v>717</v>
      </c>
      <c r="X193" s="1040"/>
      <c r="Y193" s="949"/>
      <c r="Z193" s="11"/>
      <c r="AA193" s="11"/>
      <c r="AB193" s="11"/>
      <c r="AC193" s="11"/>
      <c r="AD193" s="11"/>
    </row>
    <row r="194" ht="13.55" customHeight="1">
      <c r="A194" s="10"/>
      <c r="B194" s="11"/>
      <c r="C194" s="11"/>
      <c r="D194" s="11"/>
      <c r="E194" s="11"/>
      <c r="F194" s="11"/>
      <c r="G194" s="11"/>
      <c r="H194" s="11"/>
      <c r="I194" s="11"/>
      <c r="J194" s="11"/>
      <c r="K194" s="11"/>
      <c r="L194" s="11"/>
      <c r="M194" s="11"/>
      <c r="N194" s="11"/>
      <c r="O194" s="11"/>
      <c r="P194" s="11"/>
      <c r="Q194" s="11"/>
      <c r="R194" s="11"/>
      <c r="S194" s="11"/>
      <c r="T194" s="11"/>
      <c r="U194" s="11"/>
      <c r="V194" s="1058"/>
      <c r="W194" t="s" s="1035">
        <v>718</v>
      </c>
      <c r="X194" s="1040"/>
      <c r="Y194" s="949"/>
      <c r="Z194" s="11"/>
      <c r="AA194" s="11"/>
      <c r="AB194" s="11"/>
      <c r="AC194" s="11"/>
      <c r="AD194" s="11"/>
    </row>
    <row r="195" ht="13.55" customHeight="1">
      <c r="A195" s="10"/>
      <c r="B195" s="11"/>
      <c r="C195" s="11"/>
      <c r="D195" s="11"/>
      <c r="E195" s="11"/>
      <c r="F195" s="11"/>
      <c r="G195" s="11"/>
      <c r="H195" s="11"/>
      <c r="I195" s="11"/>
      <c r="J195" s="11"/>
      <c r="K195" s="11"/>
      <c r="L195" s="11"/>
      <c r="M195" s="11"/>
      <c r="N195" s="11"/>
      <c r="O195" s="11"/>
      <c r="P195" s="11"/>
      <c r="Q195" s="11"/>
      <c r="R195" s="11"/>
      <c r="S195" s="11"/>
      <c r="T195" s="11"/>
      <c r="U195" s="11"/>
      <c r="V195" s="1058"/>
      <c r="W195" t="s" s="1035">
        <v>719</v>
      </c>
      <c r="X195" s="1040"/>
      <c r="Y195" s="949"/>
      <c r="Z195" s="11"/>
      <c r="AA195" s="11"/>
      <c r="AB195" s="11"/>
      <c r="AC195" s="11"/>
      <c r="AD195" s="11"/>
    </row>
    <row r="196" ht="13.55" customHeight="1">
      <c r="A196" s="10"/>
      <c r="B196" s="11"/>
      <c r="C196" s="11"/>
      <c r="D196" s="11"/>
      <c r="E196" s="11"/>
      <c r="F196" s="11"/>
      <c r="G196" s="11"/>
      <c r="H196" s="11"/>
      <c r="I196" s="11"/>
      <c r="J196" s="11"/>
      <c r="K196" s="11"/>
      <c r="L196" s="11"/>
      <c r="M196" s="11"/>
      <c r="N196" s="11"/>
      <c r="O196" s="11"/>
      <c r="P196" s="11"/>
      <c r="Q196" s="11"/>
      <c r="R196" s="11"/>
      <c r="S196" s="11"/>
      <c r="T196" s="11"/>
      <c r="U196" s="11"/>
      <c r="V196" s="1058"/>
      <c r="W196" t="s" s="1035">
        <v>720</v>
      </c>
      <c r="X196" s="1040"/>
      <c r="Y196" s="949"/>
      <c r="Z196" s="11"/>
      <c r="AA196" s="11"/>
      <c r="AB196" s="11"/>
      <c r="AC196" s="11"/>
      <c r="AD196" s="11"/>
    </row>
    <row r="197" ht="13.55" customHeight="1">
      <c r="A197" s="10"/>
      <c r="B197" s="11"/>
      <c r="C197" s="11"/>
      <c r="D197" s="11"/>
      <c r="E197" s="11"/>
      <c r="F197" s="11"/>
      <c r="G197" s="11"/>
      <c r="H197" s="11"/>
      <c r="I197" s="11"/>
      <c r="J197" s="11"/>
      <c r="K197" s="11"/>
      <c r="L197" s="11"/>
      <c r="M197" s="11"/>
      <c r="N197" s="11"/>
      <c r="O197" s="11"/>
      <c r="P197" s="11"/>
      <c r="Q197" s="11"/>
      <c r="R197" s="11"/>
      <c r="S197" s="11"/>
      <c r="T197" s="11"/>
      <c r="U197" s="11"/>
      <c r="V197" s="1058"/>
      <c r="W197" t="s" s="1035">
        <v>721</v>
      </c>
      <c r="X197" s="1040"/>
      <c r="Y197" s="949"/>
      <c r="Z197" s="11"/>
      <c r="AA197" s="11"/>
      <c r="AB197" s="11"/>
      <c r="AC197" s="11"/>
      <c r="AD197" s="11"/>
    </row>
    <row r="198" ht="13.55" customHeight="1">
      <c r="A198" s="10"/>
      <c r="B198" s="11"/>
      <c r="C198" s="11"/>
      <c r="D198" s="11"/>
      <c r="E198" s="11"/>
      <c r="F198" s="11"/>
      <c r="G198" s="11"/>
      <c r="H198" s="11"/>
      <c r="I198" s="11"/>
      <c r="J198" s="11"/>
      <c r="K198" s="11"/>
      <c r="L198" s="11"/>
      <c r="M198" s="11"/>
      <c r="N198" s="11"/>
      <c r="O198" s="11"/>
      <c r="P198" s="11"/>
      <c r="Q198" s="11"/>
      <c r="R198" s="11"/>
      <c r="S198" s="11"/>
      <c r="T198" s="11"/>
      <c r="U198" s="11"/>
      <c r="V198" s="1058"/>
      <c r="W198" t="s" s="1035">
        <v>722</v>
      </c>
      <c r="X198" s="1040"/>
      <c r="Y198" s="949"/>
      <c r="Z198" s="11"/>
      <c r="AA198" s="11"/>
      <c r="AB198" s="11"/>
      <c r="AC198" s="11"/>
      <c r="AD198" s="11"/>
    </row>
    <row r="199" ht="13.55" customHeight="1">
      <c r="A199" s="10"/>
      <c r="B199" s="11"/>
      <c r="C199" s="11"/>
      <c r="D199" s="11"/>
      <c r="E199" s="11"/>
      <c r="F199" s="11"/>
      <c r="G199" s="11"/>
      <c r="H199" s="11"/>
      <c r="I199" s="11"/>
      <c r="J199" s="11"/>
      <c r="K199" s="11"/>
      <c r="L199" s="11"/>
      <c r="M199" s="11"/>
      <c r="N199" s="11"/>
      <c r="O199" s="11"/>
      <c r="P199" s="11"/>
      <c r="Q199" s="11"/>
      <c r="R199" s="11"/>
      <c r="S199" s="11"/>
      <c r="T199" s="11"/>
      <c r="U199" s="11"/>
      <c r="V199" s="1058"/>
      <c r="W199" t="s" s="1035">
        <v>723</v>
      </c>
      <c r="X199" s="1040"/>
      <c r="Y199" s="949"/>
      <c r="Z199" s="11"/>
      <c r="AA199" s="11"/>
      <c r="AB199" s="11"/>
      <c r="AC199" s="11"/>
      <c r="AD199" s="11"/>
    </row>
    <row r="200" ht="13.55" customHeight="1">
      <c r="A200" s="10"/>
      <c r="B200" s="11"/>
      <c r="C200" s="11"/>
      <c r="D200" s="11"/>
      <c r="E200" s="11"/>
      <c r="F200" s="11"/>
      <c r="G200" s="11"/>
      <c r="H200" s="11"/>
      <c r="I200" s="11"/>
      <c r="J200" s="11"/>
      <c r="K200" s="11"/>
      <c r="L200" s="11"/>
      <c r="M200" s="11"/>
      <c r="N200" s="11"/>
      <c r="O200" s="11"/>
      <c r="P200" s="11"/>
      <c r="Q200" s="11"/>
      <c r="R200" s="11"/>
      <c r="S200" s="11"/>
      <c r="T200" s="11"/>
      <c r="U200" s="11"/>
      <c r="V200" s="1058"/>
      <c r="W200" t="s" s="1035">
        <v>724</v>
      </c>
      <c r="X200" s="1040"/>
      <c r="Y200" s="949"/>
      <c r="Z200" s="11"/>
      <c r="AA200" s="11"/>
      <c r="AB200" s="11"/>
      <c r="AC200" s="11"/>
      <c r="AD200" s="11"/>
    </row>
    <row r="201" ht="13.55" customHeight="1">
      <c r="A201" s="10"/>
      <c r="B201" s="11"/>
      <c r="C201" s="11"/>
      <c r="D201" s="11"/>
      <c r="E201" s="11"/>
      <c r="F201" s="11"/>
      <c r="G201" s="11"/>
      <c r="H201" s="11"/>
      <c r="I201" s="11"/>
      <c r="J201" s="11"/>
      <c r="K201" s="11"/>
      <c r="L201" s="11"/>
      <c r="M201" s="11"/>
      <c r="N201" s="11"/>
      <c r="O201" s="11"/>
      <c r="P201" s="11"/>
      <c r="Q201" s="11"/>
      <c r="R201" s="11"/>
      <c r="S201" s="11"/>
      <c r="T201" s="11"/>
      <c r="U201" s="11"/>
      <c r="V201" s="1058"/>
      <c r="W201" t="s" s="1035">
        <v>725</v>
      </c>
      <c r="X201" s="1040"/>
      <c r="Y201" s="949"/>
      <c r="Z201" s="11"/>
      <c r="AA201" s="11"/>
      <c r="AB201" s="11"/>
      <c r="AC201" s="11"/>
      <c r="AD201" s="11"/>
    </row>
    <row r="202" ht="13.55" customHeight="1">
      <c r="A202" s="10"/>
      <c r="B202" s="11"/>
      <c r="C202" s="11"/>
      <c r="D202" s="11"/>
      <c r="E202" s="11"/>
      <c r="F202" s="11"/>
      <c r="G202" s="11"/>
      <c r="H202" s="11"/>
      <c r="I202" s="11"/>
      <c r="J202" s="11"/>
      <c r="K202" s="11"/>
      <c r="L202" s="11"/>
      <c r="M202" s="11"/>
      <c r="N202" s="11"/>
      <c r="O202" s="11"/>
      <c r="P202" s="11"/>
      <c r="Q202" s="11"/>
      <c r="R202" s="11"/>
      <c r="S202" s="11"/>
      <c r="T202" s="11"/>
      <c r="U202" s="11"/>
      <c r="V202" s="1058"/>
      <c r="W202" t="s" s="1035">
        <v>726</v>
      </c>
      <c r="X202" s="1040"/>
      <c r="Y202" s="949"/>
      <c r="Z202" s="11"/>
      <c r="AA202" s="11"/>
      <c r="AB202" s="11"/>
      <c r="AC202" s="11"/>
      <c r="AD202" s="11"/>
    </row>
    <row r="203" ht="13.55" customHeight="1">
      <c r="A203" s="10"/>
      <c r="B203" s="11"/>
      <c r="C203" s="11"/>
      <c r="D203" s="11"/>
      <c r="E203" s="11"/>
      <c r="F203" s="11"/>
      <c r="G203" s="11"/>
      <c r="H203" s="11"/>
      <c r="I203" s="11"/>
      <c r="J203" s="11"/>
      <c r="K203" s="11"/>
      <c r="L203" s="11"/>
      <c r="M203" s="11"/>
      <c r="N203" s="11"/>
      <c r="O203" s="11"/>
      <c r="P203" s="11"/>
      <c r="Q203" s="11"/>
      <c r="R203" s="11"/>
      <c r="S203" s="11"/>
      <c r="T203" s="11"/>
      <c r="U203" s="11"/>
      <c r="V203" s="1058"/>
      <c r="W203" t="s" s="1035">
        <v>727</v>
      </c>
      <c r="X203" s="1040"/>
      <c r="Y203" s="949"/>
      <c r="Z203" s="11"/>
      <c r="AA203" s="11"/>
      <c r="AB203" s="11"/>
      <c r="AC203" s="11"/>
      <c r="AD203" s="11"/>
    </row>
    <row r="204" ht="13.55" customHeight="1">
      <c r="A204" s="10"/>
      <c r="B204" s="11"/>
      <c r="C204" s="11"/>
      <c r="D204" s="11"/>
      <c r="E204" s="11"/>
      <c r="F204" s="11"/>
      <c r="G204" s="11"/>
      <c r="H204" s="11"/>
      <c r="I204" s="11"/>
      <c r="J204" s="11"/>
      <c r="K204" s="11"/>
      <c r="L204" s="11"/>
      <c r="M204" s="11"/>
      <c r="N204" s="11"/>
      <c r="O204" s="11"/>
      <c r="P204" s="11"/>
      <c r="Q204" s="11"/>
      <c r="R204" s="11"/>
      <c r="S204" s="11"/>
      <c r="T204" s="11"/>
      <c r="U204" s="11"/>
      <c r="V204" s="1058"/>
      <c r="W204" t="s" s="1035">
        <v>728</v>
      </c>
      <c r="X204" s="1040"/>
      <c r="Y204" s="949"/>
      <c r="Z204" s="11"/>
      <c r="AA204" s="11"/>
      <c r="AB204" s="11"/>
      <c r="AC204" s="11"/>
      <c r="AD204" s="11"/>
    </row>
    <row r="205" ht="13.55" customHeight="1">
      <c r="A205" s="10"/>
      <c r="B205" s="11"/>
      <c r="C205" s="11"/>
      <c r="D205" s="11"/>
      <c r="E205" s="11"/>
      <c r="F205" s="11"/>
      <c r="G205" s="11"/>
      <c r="H205" s="11"/>
      <c r="I205" s="11"/>
      <c r="J205" s="11"/>
      <c r="K205" s="11"/>
      <c r="L205" s="11"/>
      <c r="M205" s="11"/>
      <c r="N205" s="11"/>
      <c r="O205" s="11"/>
      <c r="P205" s="11"/>
      <c r="Q205" s="11"/>
      <c r="R205" s="11"/>
      <c r="S205" s="11"/>
      <c r="T205" s="11"/>
      <c r="U205" s="11"/>
      <c r="V205" s="1058"/>
      <c r="W205" t="s" s="1035">
        <v>729</v>
      </c>
      <c r="X205" s="1040"/>
      <c r="Y205" s="949"/>
      <c r="Z205" s="11"/>
      <c r="AA205" s="11"/>
      <c r="AB205" s="11"/>
      <c r="AC205" s="11"/>
      <c r="AD205" s="11"/>
    </row>
    <row r="206" ht="13.55" customHeight="1">
      <c r="A206" s="10"/>
      <c r="B206" s="11"/>
      <c r="C206" s="11"/>
      <c r="D206" s="11"/>
      <c r="E206" s="11"/>
      <c r="F206" s="11"/>
      <c r="G206" s="11"/>
      <c r="H206" s="11"/>
      <c r="I206" s="11"/>
      <c r="J206" s="11"/>
      <c r="K206" s="11"/>
      <c r="L206" s="11"/>
      <c r="M206" s="11"/>
      <c r="N206" s="11"/>
      <c r="O206" s="11"/>
      <c r="P206" s="11"/>
      <c r="Q206" s="11"/>
      <c r="R206" s="11"/>
      <c r="S206" s="11"/>
      <c r="T206" s="11"/>
      <c r="U206" s="11"/>
      <c r="V206" s="1058"/>
      <c r="W206" t="s" s="1035">
        <v>730</v>
      </c>
      <c r="X206" s="1040"/>
      <c r="Y206" s="949"/>
      <c r="Z206" s="11"/>
      <c r="AA206" s="11"/>
      <c r="AB206" s="11"/>
      <c r="AC206" s="11"/>
      <c r="AD206" s="11"/>
    </row>
    <row r="207" ht="13.55" customHeight="1">
      <c r="A207" s="10"/>
      <c r="B207" s="11"/>
      <c r="C207" s="11"/>
      <c r="D207" s="11"/>
      <c r="E207" s="11"/>
      <c r="F207" s="11"/>
      <c r="G207" s="11"/>
      <c r="H207" s="11"/>
      <c r="I207" s="11"/>
      <c r="J207" s="11"/>
      <c r="K207" s="11"/>
      <c r="L207" s="11"/>
      <c r="M207" s="11"/>
      <c r="N207" s="11"/>
      <c r="O207" s="11"/>
      <c r="P207" s="11"/>
      <c r="Q207" s="11"/>
      <c r="R207" s="11"/>
      <c r="S207" s="11"/>
      <c r="T207" s="11"/>
      <c r="U207" s="11"/>
      <c r="V207" s="1058"/>
      <c r="W207" t="s" s="1035">
        <v>731</v>
      </c>
      <c r="X207" s="1040"/>
      <c r="Y207" s="949"/>
      <c r="Z207" s="11"/>
      <c r="AA207" s="11"/>
      <c r="AB207" s="11"/>
      <c r="AC207" s="11"/>
      <c r="AD207" s="11"/>
    </row>
    <row r="208" ht="13.55" customHeight="1">
      <c r="A208" s="10"/>
      <c r="B208" s="11"/>
      <c r="C208" s="11"/>
      <c r="D208" s="11"/>
      <c r="E208" s="11"/>
      <c r="F208" s="11"/>
      <c r="G208" s="11"/>
      <c r="H208" s="11"/>
      <c r="I208" s="11"/>
      <c r="J208" s="11"/>
      <c r="K208" s="11"/>
      <c r="L208" s="11"/>
      <c r="M208" s="11"/>
      <c r="N208" s="11"/>
      <c r="O208" s="11"/>
      <c r="P208" s="11"/>
      <c r="Q208" s="11"/>
      <c r="R208" s="11"/>
      <c r="S208" s="11"/>
      <c r="T208" s="11"/>
      <c r="U208" s="11"/>
      <c r="V208" s="1058"/>
      <c r="W208" t="s" s="1035">
        <v>732</v>
      </c>
      <c r="X208" s="1040"/>
      <c r="Y208" s="949"/>
      <c r="Z208" s="11"/>
      <c r="AA208" s="11"/>
      <c r="AB208" s="11"/>
      <c r="AC208" s="11"/>
      <c r="AD208" s="11"/>
    </row>
    <row r="209" ht="13.55" customHeight="1">
      <c r="A209" s="10"/>
      <c r="B209" s="11"/>
      <c r="C209" s="11"/>
      <c r="D209" s="11"/>
      <c r="E209" s="11"/>
      <c r="F209" s="11"/>
      <c r="G209" s="11"/>
      <c r="H209" s="11"/>
      <c r="I209" s="11"/>
      <c r="J209" s="11"/>
      <c r="K209" s="11"/>
      <c r="L209" s="11"/>
      <c r="M209" s="11"/>
      <c r="N209" s="11"/>
      <c r="O209" s="11"/>
      <c r="P209" s="11"/>
      <c r="Q209" s="11"/>
      <c r="R209" s="11"/>
      <c r="S209" s="11"/>
      <c r="T209" s="11"/>
      <c r="U209" s="11"/>
      <c r="V209" s="1058"/>
      <c r="W209" t="s" s="1035">
        <v>733</v>
      </c>
      <c r="X209" s="1040"/>
      <c r="Y209" s="949"/>
      <c r="Z209" s="11"/>
      <c r="AA209" s="11"/>
      <c r="AB209" s="11"/>
      <c r="AC209" s="11"/>
      <c r="AD209" s="11"/>
    </row>
    <row r="210" ht="13.55" customHeight="1">
      <c r="A210" s="10"/>
      <c r="B210" s="11"/>
      <c r="C210" s="11"/>
      <c r="D210" s="11"/>
      <c r="E210" s="11"/>
      <c r="F210" s="11"/>
      <c r="G210" s="11"/>
      <c r="H210" s="11"/>
      <c r="I210" s="11"/>
      <c r="J210" s="11"/>
      <c r="K210" s="11"/>
      <c r="L210" s="11"/>
      <c r="M210" s="11"/>
      <c r="N210" s="11"/>
      <c r="O210" s="11"/>
      <c r="P210" s="11"/>
      <c r="Q210" s="11"/>
      <c r="R210" s="11"/>
      <c r="S210" s="11"/>
      <c r="T210" s="11"/>
      <c r="U210" s="11"/>
      <c r="V210" s="1058"/>
      <c r="W210" t="s" s="1035">
        <v>734</v>
      </c>
      <c r="X210" s="1040"/>
      <c r="Y210" s="949"/>
      <c r="Z210" s="11"/>
      <c r="AA210" s="11"/>
      <c r="AB210" s="11"/>
      <c r="AC210" s="11"/>
      <c r="AD210" s="11"/>
    </row>
    <row r="211" ht="13.55" customHeight="1">
      <c r="A211" s="10"/>
      <c r="B211" s="11"/>
      <c r="C211" s="11"/>
      <c r="D211" s="11"/>
      <c r="E211" s="11"/>
      <c r="F211" s="11"/>
      <c r="G211" s="11"/>
      <c r="H211" s="11"/>
      <c r="I211" s="11"/>
      <c r="J211" s="11"/>
      <c r="K211" s="11"/>
      <c r="L211" s="11"/>
      <c r="M211" s="11"/>
      <c r="N211" s="11"/>
      <c r="O211" s="11"/>
      <c r="P211" s="11"/>
      <c r="Q211" s="11"/>
      <c r="R211" s="11"/>
      <c r="S211" s="11"/>
      <c r="T211" s="11"/>
      <c r="U211" s="11"/>
      <c r="V211" s="1058"/>
      <c r="W211" t="s" s="1035">
        <v>735</v>
      </c>
      <c r="X211" s="1040"/>
      <c r="Y211" s="949"/>
      <c r="Z211" s="11"/>
      <c r="AA211" s="11"/>
      <c r="AB211" s="11"/>
      <c r="AC211" s="11"/>
      <c r="AD211" s="11"/>
    </row>
    <row r="212" ht="13.55" customHeight="1">
      <c r="A212" s="10"/>
      <c r="B212" s="11"/>
      <c r="C212" s="11"/>
      <c r="D212" s="11"/>
      <c r="E212" s="11"/>
      <c r="F212" s="11"/>
      <c r="G212" s="11"/>
      <c r="H212" s="11"/>
      <c r="I212" s="11"/>
      <c r="J212" s="11"/>
      <c r="K212" s="11"/>
      <c r="L212" s="11"/>
      <c r="M212" s="11"/>
      <c r="N212" s="11"/>
      <c r="O212" s="11"/>
      <c r="P212" s="11"/>
      <c r="Q212" s="11"/>
      <c r="R212" s="11"/>
      <c r="S212" s="11"/>
      <c r="T212" s="11"/>
      <c r="U212" s="11"/>
      <c r="V212" s="1058"/>
      <c r="W212" t="s" s="1035">
        <v>736</v>
      </c>
      <c r="X212" s="1040"/>
      <c r="Y212" s="949"/>
      <c r="Z212" s="11"/>
      <c r="AA212" s="11"/>
      <c r="AB212" s="11"/>
      <c r="AC212" s="11"/>
      <c r="AD212" s="11"/>
    </row>
    <row r="213" ht="13.55" customHeight="1">
      <c r="A213" s="10"/>
      <c r="B213" s="11"/>
      <c r="C213" s="11"/>
      <c r="D213" s="11"/>
      <c r="E213" s="11"/>
      <c r="F213" s="11"/>
      <c r="G213" s="11"/>
      <c r="H213" s="11"/>
      <c r="I213" s="11"/>
      <c r="J213" s="11"/>
      <c r="K213" s="11"/>
      <c r="L213" s="11"/>
      <c r="M213" s="11"/>
      <c r="N213" s="11"/>
      <c r="O213" s="11"/>
      <c r="P213" s="11"/>
      <c r="Q213" s="11"/>
      <c r="R213" s="11"/>
      <c r="S213" s="11"/>
      <c r="T213" s="11"/>
      <c r="U213" s="11"/>
      <c r="V213" s="1058"/>
      <c r="W213" t="s" s="1035">
        <v>737</v>
      </c>
      <c r="X213" s="1040"/>
      <c r="Y213" s="949"/>
      <c r="Z213" s="11"/>
      <c r="AA213" s="11"/>
      <c r="AB213" s="11"/>
      <c r="AC213" s="11"/>
      <c r="AD213" s="11"/>
    </row>
    <row r="214" ht="13.55" customHeight="1">
      <c r="A214" s="10"/>
      <c r="B214" s="11"/>
      <c r="C214" s="11"/>
      <c r="D214" s="11"/>
      <c r="E214" s="11"/>
      <c r="F214" s="11"/>
      <c r="G214" s="11"/>
      <c r="H214" s="11"/>
      <c r="I214" s="11"/>
      <c r="J214" s="11"/>
      <c r="K214" s="11"/>
      <c r="L214" s="11"/>
      <c r="M214" s="11"/>
      <c r="N214" s="11"/>
      <c r="O214" s="11"/>
      <c r="P214" s="11"/>
      <c r="Q214" s="11"/>
      <c r="R214" s="11"/>
      <c r="S214" s="11"/>
      <c r="T214" s="11"/>
      <c r="U214" s="11"/>
      <c r="V214" s="1058"/>
      <c r="W214" t="s" s="1035">
        <v>738</v>
      </c>
      <c r="X214" s="1040"/>
      <c r="Y214" s="949"/>
      <c r="Z214" s="11"/>
      <c r="AA214" s="11"/>
      <c r="AB214" s="11"/>
      <c r="AC214" s="11"/>
      <c r="AD214" s="11"/>
    </row>
    <row r="215" ht="13.55" customHeight="1">
      <c r="A215" s="10"/>
      <c r="B215" s="11"/>
      <c r="C215" s="11"/>
      <c r="D215" s="11"/>
      <c r="E215" s="11"/>
      <c r="F215" s="11"/>
      <c r="G215" s="11"/>
      <c r="H215" s="11"/>
      <c r="I215" s="11"/>
      <c r="J215" s="11"/>
      <c r="K215" s="11"/>
      <c r="L215" s="11"/>
      <c r="M215" s="11"/>
      <c r="N215" s="11"/>
      <c r="O215" s="11"/>
      <c r="P215" s="11"/>
      <c r="Q215" s="11"/>
      <c r="R215" s="11"/>
      <c r="S215" s="11"/>
      <c r="T215" s="11"/>
      <c r="U215" s="11"/>
      <c r="V215" s="1058"/>
      <c r="W215" t="s" s="1035">
        <v>739</v>
      </c>
      <c r="X215" s="1040"/>
      <c r="Y215" s="949"/>
      <c r="Z215" s="11"/>
      <c r="AA215" s="11"/>
      <c r="AB215" s="11"/>
      <c r="AC215" s="11"/>
      <c r="AD215" s="11"/>
    </row>
    <row r="216" ht="13.55" customHeight="1">
      <c r="A216" s="10"/>
      <c r="B216" s="11"/>
      <c r="C216" s="11"/>
      <c r="D216" s="11"/>
      <c r="E216" s="11"/>
      <c r="F216" s="11"/>
      <c r="G216" s="11"/>
      <c r="H216" s="11"/>
      <c r="I216" s="11"/>
      <c r="J216" s="11"/>
      <c r="K216" s="11"/>
      <c r="L216" s="11"/>
      <c r="M216" s="11"/>
      <c r="N216" s="11"/>
      <c r="O216" s="11"/>
      <c r="P216" s="11"/>
      <c r="Q216" s="11"/>
      <c r="R216" s="11"/>
      <c r="S216" s="11"/>
      <c r="T216" s="11"/>
      <c r="U216" s="11"/>
      <c r="V216" s="1058"/>
      <c r="W216" t="s" s="1035">
        <v>740</v>
      </c>
      <c r="X216" s="1040"/>
      <c r="Y216" s="949"/>
      <c r="Z216" s="11"/>
      <c r="AA216" s="11"/>
      <c r="AB216" s="11"/>
      <c r="AC216" s="11"/>
      <c r="AD216" s="11"/>
    </row>
    <row r="217" ht="13.55" customHeight="1">
      <c r="A217" s="10"/>
      <c r="B217" s="11"/>
      <c r="C217" s="11"/>
      <c r="D217" s="11"/>
      <c r="E217" s="11"/>
      <c r="F217" s="11"/>
      <c r="G217" s="11"/>
      <c r="H217" s="11"/>
      <c r="I217" s="11"/>
      <c r="J217" s="11"/>
      <c r="K217" s="11"/>
      <c r="L217" s="11"/>
      <c r="M217" s="11"/>
      <c r="N217" s="11"/>
      <c r="O217" s="11"/>
      <c r="P217" s="11"/>
      <c r="Q217" s="11"/>
      <c r="R217" s="11"/>
      <c r="S217" s="11"/>
      <c r="T217" s="11"/>
      <c r="U217" s="11"/>
      <c r="V217" s="1058"/>
      <c r="W217" t="s" s="1035">
        <v>741</v>
      </c>
      <c r="X217" s="1040"/>
      <c r="Y217" s="949"/>
      <c r="Z217" s="11"/>
      <c r="AA217" s="11"/>
      <c r="AB217" s="11"/>
      <c r="AC217" s="11"/>
      <c r="AD217" s="11"/>
    </row>
    <row r="218" ht="13.55" customHeight="1">
      <c r="A218" s="10"/>
      <c r="B218" s="11"/>
      <c r="C218" s="11"/>
      <c r="D218" s="11"/>
      <c r="E218" s="11"/>
      <c r="F218" s="11"/>
      <c r="G218" s="11"/>
      <c r="H218" s="11"/>
      <c r="I218" s="11"/>
      <c r="J218" s="11"/>
      <c r="K218" s="11"/>
      <c r="L218" s="11"/>
      <c r="M218" s="11"/>
      <c r="N218" s="11"/>
      <c r="O218" s="11"/>
      <c r="P218" s="11"/>
      <c r="Q218" s="11"/>
      <c r="R218" s="11"/>
      <c r="S218" s="11"/>
      <c r="T218" s="11"/>
      <c r="U218" s="11"/>
      <c r="V218" s="1058"/>
      <c r="W218" t="s" s="1035">
        <v>742</v>
      </c>
      <c r="X218" s="1040"/>
      <c r="Y218" s="949"/>
      <c r="Z218" s="11"/>
      <c r="AA218" s="11"/>
      <c r="AB218" s="11"/>
      <c r="AC218" s="11"/>
      <c r="AD218" s="11"/>
    </row>
    <row r="219" ht="13.55" customHeight="1">
      <c r="A219" s="10"/>
      <c r="B219" s="11"/>
      <c r="C219" s="11"/>
      <c r="D219" s="11"/>
      <c r="E219" s="11"/>
      <c r="F219" s="11"/>
      <c r="G219" s="11"/>
      <c r="H219" s="11"/>
      <c r="I219" s="11"/>
      <c r="J219" s="11"/>
      <c r="K219" s="11"/>
      <c r="L219" s="11"/>
      <c r="M219" s="11"/>
      <c r="N219" s="11"/>
      <c r="O219" s="11"/>
      <c r="P219" s="11"/>
      <c r="Q219" s="11"/>
      <c r="R219" s="11"/>
      <c r="S219" s="11"/>
      <c r="T219" s="11"/>
      <c r="U219" s="11"/>
      <c r="V219" s="1058"/>
      <c r="W219" t="s" s="1035">
        <v>743</v>
      </c>
      <c r="X219" s="1040"/>
      <c r="Y219" s="949"/>
      <c r="Z219" s="11"/>
      <c r="AA219" s="11"/>
      <c r="AB219" s="11"/>
      <c r="AC219" s="11"/>
      <c r="AD219" s="11"/>
    </row>
    <row r="220" ht="13.55" customHeight="1">
      <c r="A220" s="10"/>
      <c r="B220" s="11"/>
      <c r="C220" s="11"/>
      <c r="D220" s="11"/>
      <c r="E220" s="11"/>
      <c r="F220" s="11"/>
      <c r="G220" s="11"/>
      <c r="H220" s="11"/>
      <c r="I220" s="11"/>
      <c r="J220" s="11"/>
      <c r="K220" s="11"/>
      <c r="L220" s="11"/>
      <c r="M220" s="11"/>
      <c r="N220" s="11"/>
      <c r="O220" s="11"/>
      <c r="P220" s="11"/>
      <c r="Q220" s="11"/>
      <c r="R220" s="11"/>
      <c r="S220" s="11"/>
      <c r="T220" s="11"/>
      <c r="U220" s="11"/>
      <c r="V220" s="1058"/>
      <c r="W220" t="s" s="1035">
        <v>744</v>
      </c>
      <c r="X220" s="1040"/>
      <c r="Y220" s="949"/>
      <c r="Z220" s="11"/>
      <c r="AA220" s="11"/>
      <c r="AB220" s="11"/>
      <c r="AC220" s="11"/>
      <c r="AD220" s="11"/>
    </row>
    <row r="221" ht="13.55" customHeight="1">
      <c r="A221" s="10"/>
      <c r="B221" s="11"/>
      <c r="C221" s="11"/>
      <c r="D221" s="11"/>
      <c r="E221" s="11"/>
      <c r="F221" s="11"/>
      <c r="G221" s="11"/>
      <c r="H221" s="11"/>
      <c r="I221" s="11"/>
      <c r="J221" s="11"/>
      <c r="K221" s="11"/>
      <c r="L221" s="11"/>
      <c r="M221" s="11"/>
      <c r="N221" s="11"/>
      <c r="O221" s="11"/>
      <c r="P221" s="11"/>
      <c r="Q221" s="11"/>
      <c r="R221" s="11"/>
      <c r="S221" s="11"/>
      <c r="T221" s="11"/>
      <c r="U221" s="11"/>
      <c r="V221" s="1058"/>
      <c r="W221" t="s" s="1035">
        <v>745</v>
      </c>
      <c r="X221" s="1040"/>
      <c r="Y221" s="949"/>
      <c r="Z221" s="11"/>
      <c r="AA221" s="11"/>
      <c r="AB221" s="11"/>
      <c r="AC221" s="11"/>
      <c r="AD221" s="11"/>
    </row>
    <row r="222" ht="13.55" customHeight="1">
      <c r="A222" s="10"/>
      <c r="B222" s="11"/>
      <c r="C222" s="11"/>
      <c r="D222" s="11"/>
      <c r="E222" s="11"/>
      <c r="F222" s="11"/>
      <c r="G222" s="11"/>
      <c r="H222" s="11"/>
      <c r="I222" s="11"/>
      <c r="J222" s="11"/>
      <c r="K222" s="11"/>
      <c r="L222" s="11"/>
      <c r="M222" s="11"/>
      <c r="N222" s="11"/>
      <c r="O222" s="11"/>
      <c r="P222" s="11"/>
      <c r="Q222" s="11"/>
      <c r="R222" s="11"/>
      <c r="S222" s="11"/>
      <c r="T222" s="11"/>
      <c r="U222" s="11"/>
      <c r="V222" s="1058"/>
      <c r="W222" t="s" s="1035">
        <v>746</v>
      </c>
      <c r="X222" s="1040"/>
      <c r="Y222" s="949"/>
      <c r="Z222" s="11"/>
      <c r="AA222" s="11"/>
      <c r="AB222" s="11"/>
      <c r="AC222" s="11"/>
      <c r="AD222" s="11"/>
    </row>
    <row r="223" ht="13.55" customHeight="1">
      <c r="A223" s="10"/>
      <c r="B223" s="11"/>
      <c r="C223" s="11"/>
      <c r="D223" s="11"/>
      <c r="E223" s="11"/>
      <c r="F223" s="11"/>
      <c r="G223" s="11"/>
      <c r="H223" s="11"/>
      <c r="I223" s="11"/>
      <c r="J223" s="11"/>
      <c r="K223" s="11"/>
      <c r="L223" s="11"/>
      <c r="M223" s="11"/>
      <c r="N223" s="11"/>
      <c r="O223" s="11"/>
      <c r="P223" s="11"/>
      <c r="Q223" s="11"/>
      <c r="R223" s="11"/>
      <c r="S223" s="11"/>
      <c r="T223" s="11"/>
      <c r="U223" s="11"/>
      <c r="V223" s="1058"/>
      <c r="W223" t="s" s="1035">
        <v>747</v>
      </c>
      <c r="X223" s="1040"/>
      <c r="Y223" s="949"/>
      <c r="Z223" s="11"/>
      <c r="AA223" s="11"/>
      <c r="AB223" s="11"/>
      <c r="AC223" s="11"/>
      <c r="AD223" s="11"/>
    </row>
    <row r="224" ht="13.55" customHeight="1">
      <c r="A224" s="10"/>
      <c r="B224" s="11"/>
      <c r="C224" s="11"/>
      <c r="D224" s="11"/>
      <c r="E224" s="11"/>
      <c r="F224" s="11"/>
      <c r="G224" s="11"/>
      <c r="H224" s="11"/>
      <c r="I224" s="11"/>
      <c r="J224" s="11"/>
      <c r="K224" s="11"/>
      <c r="L224" s="11"/>
      <c r="M224" s="11"/>
      <c r="N224" s="11"/>
      <c r="O224" s="11"/>
      <c r="P224" s="11"/>
      <c r="Q224" s="11"/>
      <c r="R224" s="11"/>
      <c r="S224" s="11"/>
      <c r="T224" s="11"/>
      <c r="U224" s="11"/>
      <c r="V224" s="1058"/>
      <c r="W224" t="s" s="1035">
        <v>748</v>
      </c>
      <c r="X224" s="1040"/>
      <c r="Y224" s="949"/>
      <c r="Z224" s="11"/>
      <c r="AA224" s="11"/>
      <c r="AB224" s="11"/>
      <c r="AC224" s="11"/>
      <c r="AD224" s="11"/>
    </row>
    <row r="225" ht="13.55" customHeight="1">
      <c r="A225" s="10"/>
      <c r="B225" s="11"/>
      <c r="C225" s="11"/>
      <c r="D225" s="11"/>
      <c r="E225" s="11"/>
      <c r="F225" s="11"/>
      <c r="G225" s="11"/>
      <c r="H225" s="11"/>
      <c r="I225" s="11"/>
      <c r="J225" s="11"/>
      <c r="K225" s="11"/>
      <c r="L225" s="11"/>
      <c r="M225" s="11"/>
      <c r="N225" s="11"/>
      <c r="O225" s="11"/>
      <c r="P225" s="11"/>
      <c r="Q225" s="11"/>
      <c r="R225" s="11"/>
      <c r="S225" s="11"/>
      <c r="T225" s="11"/>
      <c r="U225" s="11"/>
      <c r="V225" s="1058"/>
      <c r="W225" t="s" s="1035">
        <v>749</v>
      </c>
      <c r="X225" s="1040"/>
      <c r="Y225" s="949"/>
      <c r="Z225" s="11"/>
      <c r="AA225" s="11"/>
      <c r="AB225" s="11"/>
      <c r="AC225" s="11"/>
      <c r="AD225" s="11"/>
    </row>
    <row r="226" ht="13.55" customHeight="1">
      <c r="A226" s="10"/>
      <c r="B226" s="11"/>
      <c r="C226" s="11"/>
      <c r="D226" s="11"/>
      <c r="E226" s="11"/>
      <c r="F226" s="11"/>
      <c r="G226" s="11"/>
      <c r="H226" s="11"/>
      <c r="I226" s="11"/>
      <c r="J226" s="11"/>
      <c r="K226" s="11"/>
      <c r="L226" s="11"/>
      <c r="M226" s="11"/>
      <c r="N226" s="11"/>
      <c r="O226" s="11"/>
      <c r="P226" s="11"/>
      <c r="Q226" s="11"/>
      <c r="R226" s="11"/>
      <c r="S226" s="11"/>
      <c r="T226" s="11"/>
      <c r="U226" s="11"/>
      <c r="V226" s="1058"/>
      <c r="W226" t="s" s="1035">
        <v>750</v>
      </c>
      <c r="X226" s="1040"/>
      <c r="Y226" s="949"/>
      <c r="Z226" s="11"/>
      <c r="AA226" s="11"/>
      <c r="AB226" s="11"/>
      <c r="AC226" s="11"/>
      <c r="AD226" s="11"/>
    </row>
    <row r="227" ht="13.55" customHeight="1">
      <c r="A227" s="10"/>
      <c r="B227" s="11"/>
      <c r="C227" s="11"/>
      <c r="D227" s="11"/>
      <c r="E227" s="11"/>
      <c r="F227" s="11"/>
      <c r="G227" s="11"/>
      <c r="H227" s="11"/>
      <c r="I227" s="11"/>
      <c r="J227" s="11"/>
      <c r="K227" s="11"/>
      <c r="L227" s="11"/>
      <c r="M227" s="11"/>
      <c r="N227" s="11"/>
      <c r="O227" s="11"/>
      <c r="P227" s="11"/>
      <c r="Q227" s="11"/>
      <c r="R227" s="11"/>
      <c r="S227" s="11"/>
      <c r="T227" s="11"/>
      <c r="U227" s="11"/>
      <c r="V227" s="1058"/>
      <c r="W227" t="s" s="1035">
        <v>751</v>
      </c>
      <c r="X227" s="1040"/>
      <c r="Y227" s="949"/>
      <c r="Z227" s="11"/>
      <c r="AA227" s="11"/>
      <c r="AB227" s="11"/>
      <c r="AC227" s="11"/>
      <c r="AD227" s="11"/>
    </row>
    <row r="228" ht="13.55" customHeight="1">
      <c r="A228" s="10"/>
      <c r="B228" s="11"/>
      <c r="C228" s="11"/>
      <c r="D228" s="11"/>
      <c r="E228" s="11"/>
      <c r="F228" s="11"/>
      <c r="G228" s="11"/>
      <c r="H228" s="11"/>
      <c r="I228" s="11"/>
      <c r="J228" s="11"/>
      <c r="K228" s="11"/>
      <c r="L228" s="11"/>
      <c r="M228" s="11"/>
      <c r="N228" s="11"/>
      <c r="O228" s="11"/>
      <c r="P228" s="11"/>
      <c r="Q228" s="11"/>
      <c r="R228" s="11"/>
      <c r="S228" s="11"/>
      <c r="T228" s="11"/>
      <c r="U228" s="11"/>
      <c r="V228" s="1058"/>
      <c r="W228" t="s" s="1035">
        <v>752</v>
      </c>
      <c r="X228" s="1040"/>
      <c r="Y228" s="949"/>
      <c r="Z228" s="11"/>
      <c r="AA228" s="11"/>
      <c r="AB228" s="11"/>
      <c r="AC228" s="11"/>
      <c r="AD228" s="11"/>
    </row>
    <row r="229" ht="13.55" customHeight="1">
      <c r="A229" s="10"/>
      <c r="B229" s="11"/>
      <c r="C229" s="11"/>
      <c r="D229" s="11"/>
      <c r="E229" s="11"/>
      <c r="F229" s="11"/>
      <c r="G229" s="11"/>
      <c r="H229" s="11"/>
      <c r="I229" s="11"/>
      <c r="J229" s="11"/>
      <c r="K229" s="11"/>
      <c r="L229" s="11"/>
      <c r="M229" s="11"/>
      <c r="N229" s="11"/>
      <c r="O229" s="11"/>
      <c r="P229" s="11"/>
      <c r="Q229" s="11"/>
      <c r="R229" s="11"/>
      <c r="S229" s="11"/>
      <c r="T229" s="11"/>
      <c r="U229" s="11"/>
      <c r="V229" s="1058"/>
      <c r="W229" t="s" s="1035">
        <v>753</v>
      </c>
      <c r="X229" s="1040"/>
      <c r="Y229" s="949"/>
      <c r="Z229" s="11"/>
      <c r="AA229" s="11"/>
      <c r="AB229" s="11"/>
      <c r="AC229" s="11"/>
      <c r="AD229" s="11"/>
    </row>
    <row r="230" ht="13.55" customHeight="1">
      <c r="A230" s="10"/>
      <c r="B230" s="11"/>
      <c r="C230" s="11"/>
      <c r="D230" s="11"/>
      <c r="E230" s="11"/>
      <c r="F230" s="11"/>
      <c r="G230" s="11"/>
      <c r="H230" s="11"/>
      <c r="I230" s="11"/>
      <c r="J230" s="11"/>
      <c r="K230" s="11"/>
      <c r="L230" s="11"/>
      <c r="M230" s="11"/>
      <c r="N230" s="11"/>
      <c r="O230" s="11"/>
      <c r="P230" s="11"/>
      <c r="Q230" s="11"/>
      <c r="R230" s="11"/>
      <c r="S230" s="11"/>
      <c r="T230" s="11"/>
      <c r="U230" s="11"/>
      <c r="V230" s="1058"/>
      <c r="W230" t="s" s="1035">
        <v>754</v>
      </c>
      <c r="X230" s="1040"/>
      <c r="Y230" s="949"/>
      <c r="Z230" s="11"/>
      <c r="AA230" s="11"/>
      <c r="AB230" s="11"/>
      <c r="AC230" s="11"/>
      <c r="AD230" s="11"/>
    </row>
    <row r="231" ht="13.55" customHeight="1">
      <c r="A231" s="10"/>
      <c r="B231" s="11"/>
      <c r="C231" s="11"/>
      <c r="D231" s="11"/>
      <c r="E231" s="11"/>
      <c r="F231" s="11"/>
      <c r="G231" s="11"/>
      <c r="H231" s="11"/>
      <c r="I231" s="11"/>
      <c r="J231" s="11"/>
      <c r="K231" s="11"/>
      <c r="L231" s="11"/>
      <c r="M231" s="11"/>
      <c r="N231" s="11"/>
      <c r="O231" s="11"/>
      <c r="P231" s="11"/>
      <c r="Q231" s="11"/>
      <c r="R231" s="11"/>
      <c r="S231" s="11"/>
      <c r="T231" s="11"/>
      <c r="U231" s="11"/>
      <c r="V231" s="1058"/>
      <c r="W231" t="s" s="1035">
        <v>755</v>
      </c>
      <c r="X231" s="1040"/>
      <c r="Y231" s="949"/>
      <c r="Z231" s="11"/>
      <c r="AA231" s="11"/>
      <c r="AB231" s="11"/>
      <c r="AC231" s="11"/>
      <c r="AD231" s="11"/>
    </row>
    <row r="232" ht="13.55" customHeight="1">
      <c r="A232" s="10"/>
      <c r="B232" s="11"/>
      <c r="C232" s="11"/>
      <c r="D232" s="11"/>
      <c r="E232" s="11"/>
      <c r="F232" s="11"/>
      <c r="G232" s="11"/>
      <c r="H232" s="11"/>
      <c r="I232" s="11"/>
      <c r="J232" s="11"/>
      <c r="K232" s="11"/>
      <c r="L232" s="11"/>
      <c r="M232" s="11"/>
      <c r="N232" s="11"/>
      <c r="O232" s="11"/>
      <c r="P232" s="11"/>
      <c r="Q232" s="11"/>
      <c r="R232" s="11"/>
      <c r="S232" s="11"/>
      <c r="T232" s="11"/>
      <c r="U232" s="11"/>
      <c r="V232" s="1058"/>
      <c r="W232" t="s" s="1035">
        <v>756</v>
      </c>
      <c r="X232" s="1040"/>
      <c r="Y232" s="949"/>
      <c r="Z232" s="11"/>
      <c r="AA232" s="11"/>
      <c r="AB232" s="11"/>
      <c r="AC232" s="11"/>
      <c r="AD232" s="11"/>
    </row>
    <row r="233" ht="13.55" customHeight="1">
      <c r="A233" s="10"/>
      <c r="B233" s="11"/>
      <c r="C233" s="11"/>
      <c r="D233" s="11"/>
      <c r="E233" s="11"/>
      <c r="F233" s="11"/>
      <c r="G233" s="11"/>
      <c r="H233" s="11"/>
      <c r="I233" s="11"/>
      <c r="J233" s="11"/>
      <c r="K233" s="11"/>
      <c r="L233" s="11"/>
      <c r="M233" s="11"/>
      <c r="N233" s="11"/>
      <c r="O233" s="11"/>
      <c r="P233" s="11"/>
      <c r="Q233" s="11"/>
      <c r="R233" s="11"/>
      <c r="S233" s="11"/>
      <c r="T233" s="11"/>
      <c r="U233" s="11"/>
      <c r="V233" s="1058"/>
      <c r="W233" t="s" s="1035">
        <v>757</v>
      </c>
      <c r="X233" s="1040"/>
      <c r="Y233" s="949"/>
      <c r="Z233" s="11"/>
      <c r="AA233" s="11"/>
      <c r="AB233" s="11"/>
      <c r="AC233" s="11"/>
      <c r="AD233" s="11"/>
    </row>
    <row r="234" ht="13.55" customHeight="1">
      <c r="A234" s="10"/>
      <c r="B234" s="11"/>
      <c r="C234" s="11"/>
      <c r="D234" s="11"/>
      <c r="E234" s="11"/>
      <c r="F234" s="11"/>
      <c r="G234" s="11"/>
      <c r="H234" s="11"/>
      <c r="I234" s="11"/>
      <c r="J234" s="11"/>
      <c r="K234" s="11"/>
      <c r="L234" s="11"/>
      <c r="M234" s="11"/>
      <c r="N234" s="11"/>
      <c r="O234" s="11"/>
      <c r="P234" s="11"/>
      <c r="Q234" s="11"/>
      <c r="R234" s="11"/>
      <c r="S234" s="11"/>
      <c r="T234" s="11"/>
      <c r="U234" s="11"/>
      <c r="V234" s="1058"/>
      <c r="W234" t="s" s="1035">
        <v>758</v>
      </c>
      <c r="X234" s="1040"/>
      <c r="Y234" s="949"/>
      <c r="Z234" s="11"/>
      <c r="AA234" s="11"/>
      <c r="AB234" s="11"/>
      <c r="AC234" s="11"/>
      <c r="AD234" s="11"/>
    </row>
    <row r="235" ht="13.55" customHeight="1">
      <c r="A235" s="10"/>
      <c r="B235" s="11"/>
      <c r="C235" s="11"/>
      <c r="D235" s="11"/>
      <c r="E235" s="11"/>
      <c r="F235" s="11"/>
      <c r="G235" s="11"/>
      <c r="H235" s="11"/>
      <c r="I235" s="11"/>
      <c r="J235" s="11"/>
      <c r="K235" s="11"/>
      <c r="L235" s="11"/>
      <c r="M235" s="11"/>
      <c r="N235" s="11"/>
      <c r="O235" s="11"/>
      <c r="P235" s="11"/>
      <c r="Q235" s="11"/>
      <c r="R235" s="11"/>
      <c r="S235" s="11"/>
      <c r="T235" s="11"/>
      <c r="U235" s="11"/>
      <c r="V235" s="1058"/>
      <c r="W235" t="s" s="1035">
        <v>759</v>
      </c>
      <c r="X235" s="1040"/>
      <c r="Y235" s="949"/>
      <c r="Z235" s="11"/>
      <c r="AA235" s="11"/>
      <c r="AB235" s="11"/>
      <c r="AC235" s="11"/>
      <c r="AD235" s="11"/>
    </row>
    <row r="236" ht="13.55" customHeight="1">
      <c r="A236" s="10"/>
      <c r="B236" s="11"/>
      <c r="C236" s="11"/>
      <c r="D236" s="11"/>
      <c r="E236" s="11"/>
      <c r="F236" s="11"/>
      <c r="G236" s="11"/>
      <c r="H236" s="11"/>
      <c r="I236" s="11"/>
      <c r="J236" s="11"/>
      <c r="K236" s="11"/>
      <c r="L236" s="11"/>
      <c r="M236" s="11"/>
      <c r="N236" s="11"/>
      <c r="O236" s="11"/>
      <c r="P236" s="11"/>
      <c r="Q236" s="11"/>
      <c r="R236" s="11"/>
      <c r="S236" s="11"/>
      <c r="T236" s="11"/>
      <c r="U236" s="11"/>
      <c r="V236" s="1058"/>
      <c r="W236" t="s" s="1035">
        <v>760</v>
      </c>
      <c r="X236" s="1040"/>
      <c r="Y236" s="949"/>
      <c r="Z236" s="11"/>
      <c r="AA236" s="11"/>
      <c r="AB236" s="11"/>
      <c r="AC236" s="11"/>
      <c r="AD236" s="11"/>
    </row>
    <row r="237" ht="13.55" customHeight="1">
      <c r="A237" s="10"/>
      <c r="B237" s="11"/>
      <c r="C237" s="11"/>
      <c r="D237" s="11"/>
      <c r="E237" s="11"/>
      <c r="F237" s="11"/>
      <c r="G237" s="11"/>
      <c r="H237" s="11"/>
      <c r="I237" s="11"/>
      <c r="J237" s="11"/>
      <c r="K237" s="11"/>
      <c r="L237" s="11"/>
      <c r="M237" s="11"/>
      <c r="N237" s="11"/>
      <c r="O237" s="11"/>
      <c r="P237" s="11"/>
      <c r="Q237" s="11"/>
      <c r="R237" s="11"/>
      <c r="S237" s="11"/>
      <c r="T237" s="11"/>
      <c r="U237" s="11"/>
      <c r="V237" s="1058"/>
      <c r="W237" t="s" s="1035">
        <v>761</v>
      </c>
      <c r="X237" s="1040"/>
      <c r="Y237" s="949"/>
      <c r="Z237" s="11"/>
      <c r="AA237" s="11"/>
      <c r="AB237" s="11"/>
      <c r="AC237" s="11"/>
      <c r="AD237" s="11"/>
    </row>
    <row r="238" ht="13.55" customHeight="1">
      <c r="A238" s="10"/>
      <c r="B238" s="11"/>
      <c r="C238" s="11"/>
      <c r="D238" s="11"/>
      <c r="E238" s="11"/>
      <c r="F238" s="11"/>
      <c r="G238" s="11"/>
      <c r="H238" s="11"/>
      <c r="I238" s="11"/>
      <c r="J238" s="11"/>
      <c r="K238" s="11"/>
      <c r="L238" s="11"/>
      <c r="M238" s="11"/>
      <c r="N238" s="11"/>
      <c r="O238" s="11"/>
      <c r="P238" s="11"/>
      <c r="Q238" s="11"/>
      <c r="R238" s="11"/>
      <c r="S238" s="11"/>
      <c r="T238" s="11"/>
      <c r="U238" s="11"/>
      <c r="V238" s="1058"/>
      <c r="W238" t="s" s="1035">
        <v>762</v>
      </c>
      <c r="X238" s="1040"/>
      <c r="Y238" s="949"/>
      <c r="Z238" s="11"/>
      <c r="AA238" s="11"/>
      <c r="AB238" s="11"/>
      <c r="AC238" s="11"/>
      <c r="AD238" s="11"/>
    </row>
    <row r="239" ht="13.55" customHeight="1">
      <c r="A239" s="10"/>
      <c r="B239" s="11"/>
      <c r="C239" s="11"/>
      <c r="D239" s="11"/>
      <c r="E239" s="11"/>
      <c r="F239" s="11"/>
      <c r="G239" s="11"/>
      <c r="H239" s="11"/>
      <c r="I239" s="11"/>
      <c r="J239" s="11"/>
      <c r="K239" s="11"/>
      <c r="L239" s="11"/>
      <c r="M239" s="11"/>
      <c r="N239" s="11"/>
      <c r="O239" s="11"/>
      <c r="P239" s="11"/>
      <c r="Q239" s="11"/>
      <c r="R239" s="11"/>
      <c r="S239" s="11"/>
      <c r="T239" s="11"/>
      <c r="U239" s="11"/>
      <c r="V239" s="1058"/>
      <c r="W239" t="s" s="1035">
        <v>763</v>
      </c>
      <c r="X239" s="1040"/>
      <c r="Y239" s="949"/>
      <c r="Z239" s="11"/>
      <c r="AA239" s="11"/>
      <c r="AB239" s="11"/>
      <c r="AC239" s="11"/>
      <c r="AD239" s="11"/>
    </row>
    <row r="240" ht="13.55" customHeight="1">
      <c r="A240" s="10"/>
      <c r="B240" s="11"/>
      <c r="C240" s="11"/>
      <c r="D240" s="11"/>
      <c r="E240" s="11"/>
      <c r="F240" s="11"/>
      <c r="G240" s="11"/>
      <c r="H240" s="11"/>
      <c r="I240" s="11"/>
      <c r="J240" s="11"/>
      <c r="K240" s="11"/>
      <c r="L240" s="11"/>
      <c r="M240" s="11"/>
      <c r="N240" s="11"/>
      <c r="O240" s="11"/>
      <c r="P240" s="11"/>
      <c r="Q240" s="11"/>
      <c r="R240" s="11"/>
      <c r="S240" s="11"/>
      <c r="T240" s="11"/>
      <c r="U240" s="11"/>
      <c r="V240" s="1058"/>
      <c r="W240" t="s" s="1035">
        <v>764</v>
      </c>
      <c r="X240" s="1040"/>
      <c r="Y240" s="949"/>
      <c r="Z240" s="11"/>
      <c r="AA240" s="11"/>
      <c r="AB240" s="11"/>
      <c r="AC240" s="11"/>
      <c r="AD240" s="11"/>
    </row>
    <row r="241" ht="13.55" customHeight="1">
      <c r="A241" s="10"/>
      <c r="B241" s="11"/>
      <c r="C241" s="11"/>
      <c r="D241" s="11"/>
      <c r="E241" s="11"/>
      <c r="F241" s="11"/>
      <c r="G241" s="11"/>
      <c r="H241" s="11"/>
      <c r="I241" s="11"/>
      <c r="J241" s="11"/>
      <c r="K241" s="11"/>
      <c r="L241" s="11"/>
      <c r="M241" s="11"/>
      <c r="N241" s="11"/>
      <c r="O241" s="11"/>
      <c r="P241" s="11"/>
      <c r="Q241" s="11"/>
      <c r="R241" s="11"/>
      <c r="S241" s="11"/>
      <c r="T241" s="11"/>
      <c r="U241" s="11"/>
      <c r="V241" s="1058"/>
      <c r="W241" t="s" s="1035">
        <v>765</v>
      </c>
      <c r="X241" s="1040"/>
      <c r="Y241" s="949"/>
      <c r="Z241" s="11"/>
      <c r="AA241" s="11"/>
      <c r="AB241" s="11"/>
      <c r="AC241" s="11"/>
      <c r="AD241" s="11"/>
    </row>
    <row r="242" ht="13.55" customHeight="1">
      <c r="A242" s="10"/>
      <c r="B242" s="11"/>
      <c r="C242" s="11"/>
      <c r="D242" s="11"/>
      <c r="E242" s="11"/>
      <c r="F242" s="11"/>
      <c r="G242" s="11"/>
      <c r="H242" s="11"/>
      <c r="I242" s="11"/>
      <c r="J242" s="11"/>
      <c r="K242" s="11"/>
      <c r="L242" s="11"/>
      <c r="M242" s="11"/>
      <c r="N242" s="11"/>
      <c r="O242" s="11"/>
      <c r="P242" s="11"/>
      <c r="Q242" s="11"/>
      <c r="R242" s="11"/>
      <c r="S242" s="11"/>
      <c r="T242" s="11"/>
      <c r="U242" s="11"/>
      <c r="V242" s="1058"/>
      <c r="W242" t="s" s="1035">
        <v>766</v>
      </c>
      <c r="X242" s="1040"/>
      <c r="Y242" s="949"/>
      <c r="Z242" s="11"/>
      <c r="AA242" s="11"/>
      <c r="AB242" s="11"/>
      <c r="AC242" s="11"/>
      <c r="AD242" s="11"/>
    </row>
    <row r="243" ht="13.55" customHeight="1">
      <c r="A243" s="10"/>
      <c r="B243" s="11"/>
      <c r="C243" s="11"/>
      <c r="D243" s="11"/>
      <c r="E243" s="11"/>
      <c r="F243" s="11"/>
      <c r="G243" s="11"/>
      <c r="H243" s="11"/>
      <c r="I243" s="11"/>
      <c r="J243" s="11"/>
      <c r="K243" s="11"/>
      <c r="L243" s="11"/>
      <c r="M243" s="11"/>
      <c r="N243" s="11"/>
      <c r="O243" s="11"/>
      <c r="P243" s="11"/>
      <c r="Q243" s="11"/>
      <c r="R243" s="11"/>
      <c r="S243" s="11"/>
      <c r="T243" s="11"/>
      <c r="U243" s="11"/>
      <c r="V243" s="1058"/>
      <c r="W243" t="s" s="1035">
        <v>767</v>
      </c>
      <c r="X243" s="1040"/>
      <c r="Y243" s="949"/>
      <c r="Z243" s="11"/>
      <c r="AA243" s="11"/>
      <c r="AB243" s="11"/>
      <c r="AC243" s="11"/>
      <c r="AD243" s="11"/>
    </row>
    <row r="244" ht="13.55" customHeight="1">
      <c r="A244" s="10"/>
      <c r="B244" s="11"/>
      <c r="C244" s="11"/>
      <c r="D244" s="11"/>
      <c r="E244" s="11"/>
      <c r="F244" s="11"/>
      <c r="G244" s="11"/>
      <c r="H244" s="11"/>
      <c r="I244" s="11"/>
      <c r="J244" s="11"/>
      <c r="K244" s="11"/>
      <c r="L244" s="11"/>
      <c r="M244" s="11"/>
      <c r="N244" s="11"/>
      <c r="O244" s="11"/>
      <c r="P244" s="11"/>
      <c r="Q244" s="11"/>
      <c r="R244" s="11"/>
      <c r="S244" s="11"/>
      <c r="T244" s="11"/>
      <c r="U244" s="11"/>
      <c r="V244" s="1058"/>
      <c r="W244" t="s" s="1035">
        <v>768</v>
      </c>
      <c r="X244" s="1040"/>
      <c r="Y244" s="949"/>
      <c r="Z244" s="11"/>
      <c r="AA244" s="11"/>
      <c r="AB244" s="11"/>
      <c r="AC244" s="11"/>
      <c r="AD244" s="11"/>
    </row>
    <row r="245" ht="13.55" customHeight="1">
      <c r="A245" s="10"/>
      <c r="B245" s="11"/>
      <c r="C245" s="11"/>
      <c r="D245" s="11"/>
      <c r="E245" s="11"/>
      <c r="F245" s="11"/>
      <c r="G245" s="11"/>
      <c r="H245" s="11"/>
      <c r="I245" s="11"/>
      <c r="J245" s="11"/>
      <c r="K245" s="11"/>
      <c r="L245" s="11"/>
      <c r="M245" s="11"/>
      <c r="N245" s="11"/>
      <c r="O245" s="11"/>
      <c r="P245" s="11"/>
      <c r="Q245" s="11"/>
      <c r="R245" s="11"/>
      <c r="S245" s="11"/>
      <c r="T245" s="11"/>
      <c r="U245" s="11"/>
      <c r="V245" s="1058"/>
      <c r="W245" t="s" s="1035">
        <v>769</v>
      </c>
      <c r="X245" s="1040"/>
      <c r="Y245" s="949"/>
      <c r="Z245" s="11"/>
      <c r="AA245" s="11"/>
      <c r="AB245" s="11"/>
      <c r="AC245" s="11"/>
      <c r="AD245" s="11"/>
    </row>
    <row r="246" ht="13.55" customHeight="1">
      <c r="A246" s="10"/>
      <c r="B246" s="11"/>
      <c r="C246" s="11"/>
      <c r="D246" s="11"/>
      <c r="E246" s="11"/>
      <c r="F246" s="11"/>
      <c r="G246" s="11"/>
      <c r="H246" s="11"/>
      <c r="I246" s="11"/>
      <c r="J246" s="11"/>
      <c r="K246" s="11"/>
      <c r="L246" s="11"/>
      <c r="M246" s="11"/>
      <c r="N246" s="11"/>
      <c r="O246" s="11"/>
      <c r="P246" s="11"/>
      <c r="Q246" s="11"/>
      <c r="R246" s="11"/>
      <c r="S246" s="11"/>
      <c r="T246" s="11"/>
      <c r="U246" s="11"/>
      <c r="V246" s="1058"/>
      <c r="W246" t="s" s="1035">
        <v>770</v>
      </c>
      <c r="X246" s="1040"/>
      <c r="Y246" s="949"/>
      <c r="Z246" s="11"/>
      <c r="AA246" s="11"/>
      <c r="AB246" s="11"/>
      <c r="AC246" s="11"/>
      <c r="AD246" s="11"/>
    </row>
    <row r="247" ht="13.55" customHeight="1">
      <c r="A247" s="10"/>
      <c r="B247" s="11"/>
      <c r="C247" s="11"/>
      <c r="D247" s="11"/>
      <c r="E247" s="11"/>
      <c r="F247" s="11"/>
      <c r="G247" s="11"/>
      <c r="H247" s="11"/>
      <c r="I247" s="11"/>
      <c r="J247" s="11"/>
      <c r="K247" s="11"/>
      <c r="L247" s="11"/>
      <c r="M247" s="11"/>
      <c r="N247" s="11"/>
      <c r="O247" s="11"/>
      <c r="P247" s="11"/>
      <c r="Q247" s="11"/>
      <c r="R247" s="11"/>
      <c r="S247" s="11"/>
      <c r="T247" s="11"/>
      <c r="U247" s="11"/>
      <c r="V247" s="1058"/>
      <c r="W247" t="s" s="1035">
        <v>771</v>
      </c>
      <c r="X247" s="1040"/>
      <c r="Y247" s="949"/>
      <c r="Z247" s="11"/>
      <c r="AA247" s="11"/>
      <c r="AB247" s="11"/>
      <c r="AC247" s="11"/>
      <c r="AD247" s="11"/>
    </row>
    <row r="248" ht="13.55" customHeight="1">
      <c r="A248" s="10"/>
      <c r="B248" s="11"/>
      <c r="C248" s="11"/>
      <c r="D248" s="11"/>
      <c r="E248" s="11"/>
      <c r="F248" s="11"/>
      <c r="G248" s="11"/>
      <c r="H248" s="11"/>
      <c r="I248" s="11"/>
      <c r="J248" s="11"/>
      <c r="K248" s="11"/>
      <c r="L248" s="11"/>
      <c r="M248" s="11"/>
      <c r="N248" s="11"/>
      <c r="O248" s="11"/>
      <c r="P248" s="11"/>
      <c r="Q248" s="11"/>
      <c r="R248" s="11"/>
      <c r="S248" s="11"/>
      <c r="T248" s="11"/>
      <c r="U248" s="11"/>
      <c r="V248" s="1058"/>
      <c r="W248" t="s" s="1035">
        <v>772</v>
      </c>
      <c r="X248" s="1040"/>
      <c r="Y248" s="949"/>
      <c r="Z248" s="11"/>
      <c r="AA248" s="11"/>
      <c r="AB248" s="11"/>
      <c r="AC248" s="11"/>
      <c r="AD248" s="11"/>
    </row>
    <row r="249" ht="13.55" customHeight="1">
      <c r="A249" s="10"/>
      <c r="B249" s="11"/>
      <c r="C249" s="11"/>
      <c r="D249" s="11"/>
      <c r="E249" s="11"/>
      <c r="F249" s="11"/>
      <c r="G249" s="11"/>
      <c r="H249" s="11"/>
      <c r="I249" s="11"/>
      <c r="J249" s="11"/>
      <c r="K249" s="11"/>
      <c r="L249" s="11"/>
      <c r="M249" s="11"/>
      <c r="N249" s="11"/>
      <c r="O249" s="11"/>
      <c r="P249" s="11"/>
      <c r="Q249" s="11"/>
      <c r="R249" s="11"/>
      <c r="S249" s="11"/>
      <c r="T249" s="11"/>
      <c r="U249" s="11"/>
      <c r="V249" s="1058"/>
      <c r="W249" t="s" s="1035">
        <v>773</v>
      </c>
      <c r="X249" s="1040"/>
      <c r="Y249" s="949"/>
      <c r="Z249" s="11"/>
      <c r="AA249" s="11"/>
      <c r="AB249" s="11"/>
      <c r="AC249" s="11"/>
      <c r="AD249" s="11"/>
    </row>
    <row r="250" ht="13.55" customHeight="1">
      <c r="A250" s="10"/>
      <c r="B250" s="11"/>
      <c r="C250" s="11"/>
      <c r="D250" s="11"/>
      <c r="E250" s="11"/>
      <c r="F250" s="11"/>
      <c r="G250" s="11"/>
      <c r="H250" s="11"/>
      <c r="I250" s="11"/>
      <c r="J250" s="11"/>
      <c r="K250" s="11"/>
      <c r="L250" s="11"/>
      <c r="M250" s="11"/>
      <c r="N250" s="11"/>
      <c r="O250" s="11"/>
      <c r="P250" s="11"/>
      <c r="Q250" s="11"/>
      <c r="R250" s="11"/>
      <c r="S250" s="11"/>
      <c r="T250" s="11"/>
      <c r="U250" s="11"/>
      <c r="V250" s="1058"/>
      <c r="W250" t="s" s="1035">
        <v>774</v>
      </c>
      <c r="X250" s="1040"/>
      <c r="Y250" s="949"/>
      <c r="Z250" s="11"/>
      <c r="AA250" s="11"/>
      <c r="AB250" s="11"/>
      <c r="AC250" s="11"/>
      <c r="AD250" s="11"/>
    </row>
    <row r="251" ht="13.55" customHeight="1">
      <c r="A251" s="10"/>
      <c r="B251" s="11"/>
      <c r="C251" s="11"/>
      <c r="D251" s="11"/>
      <c r="E251" s="11"/>
      <c r="F251" s="11"/>
      <c r="G251" s="11"/>
      <c r="H251" s="11"/>
      <c r="I251" s="11"/>
      <c r="J251" s="11"/>
      <c r="K251" s="11"/>
      <c r="L251" s="11"/>
      <c r="M251" s="11"/>
      <c r="N251" s="11"/>
      <c r="O251" s="11"/>
      <c r="P251" s="11"/>
      <c r="Q251" s="11"/>
      <c r="R251" s="11"/>
      <c r="S251" s="11"/>
      <c r="T251" s="11"/>
      <c r="U251" s="11"/>
      <c r="V251" s="1058"/>
      <c r="W251" t="s" s="1035">
        <v>775</v>
      </c>
      <c r="X251" s="1040"/>
      <c r="Y251" s="949"/>
      <c r="Z251" s="11"/>
      <c r="AA251" s="11"/>
      <c r="AB251" s="11"/>
      <c r="AC251" s="11"/>
      <c r="AD251" s="11"/>
    </row>
    <row r="252" ht="13.55" customHeight="1">
      <c r="A252" s="10"/>
      <c r="B252" s="11"/>
      <c r="C252" s="11"/>
      <c r="D252" s="11"/>
      <c r="E252" s="11"/>
      <c r="F252" s="11"/>
      <c r="G252" s="11"/>
      <c r="H252" s="11"/>
      <c r="I252" s="11"/>
      <c r="J252" s="11"/>
      <c r="K252" s="11"/>
      <c r="L252" s="11"/>
      <c r="M252" s="11"/>
      <c r="N252" s="11"/>
      <c r="O252" s="11"/>
      <c r="P252" s="11"/>
      <c r="Q252" s="11"/>
      <c r="R252" s="11"/>
      <c r="S252" s="11"/>
      <c r="T252" s="11"/>
      <c r="U252" s="11"/>
      <c r="V252" s="1058"/>
      <c r="W252" t="s" s="1035">
        <v>776</v>
      </c>
      <c r="X252" s="1040"/>
      <c r="Y252" s="949"/>
      <c r="Z252" s="11"/>
      <c r="AA252" s="11"/>
      <c r="AB252" s="11"/>
      <c r="AC252" s="11"/>
      <c r="AD252" s="11"/>
    </row>
    <row r="253" ht="13.55" customHeight="1">
      <c r="A253" s="10"/>
      <c r="B253" s="11"/>
      <c r="C253" s="11"/>
      <c r="D253" s="11"/>
      <c r="E253" s="11"/>
      <c r="F253" s="11"/>
      <c r="G253" s="11"/>
      <c r="H253" s="11"/>
      <c r="I253" s="11"/>
      <c r="J253" s="11"/>
      <c r="K253" s="11"/>
      <c r="L253" s="11"/>
      <c r="M253" s="11"/>
      <c r="N253" s="11"/>
      <c r="O253" s="11"/>
      <c r="P253" s="11"/>
      <c r="Q253" s="11"/>
      <c r="R253" s="11"/>
      <c r="S253" s="11"/>
      <c r="T253" s="11"/>
      <c r="U253" s="11"/>
      <c r="V253" s="1058"/>
      <c r="W253" t="s" s="1035">
        <v>777</v>
      </c>
      <c r="X253" s="1040"/>
      <c r="Y253" s="949"/>
      <c r="Z253" s="11"/>
      <c r="AA253" s="11"/>
      <c r="AB253" s="11"/>
      <c r="AC253" s="11"/>
      <c r="AD253" s="11"/>
    </row>
    <row r="254" ht="13.55" customHeight="1">
      <c r="A254" s="10"/>
      <c r="B254" s="11"/>
      <c r="C254" s="11"/>
      <c r="D254" s="11"/>
      <c r="E254" s="11"/>
      <c r="F254" s="11"/>
      <c r="G254" s="11"/>
      <c r="H254" s="11"/>
      <c r="I254" s="11"/>
      <c r="J254" s="11"/>
      <c r="K254" s="11"/>
      <c r="L254" s="11"/>
      <c r="M254" s="11"/>
      <c r="N254" s="11"/>
      <c r="O254" s="11"/>
      <c r="P254" s="11"/>
      <c r="Q254" s="11"/>
      <c r="R254" s="11"/>
      <c r="S254" s="11"/>
      <c r="T254" s="11"/>
      <c r="U254" s="11"/>
      <c r="V254" s="1058"/>
      <c r="W254" t="s" s="1035">
        <v>778</v>
      </c>
      <c r="X254" s="1040"/>
      <c r="Y254" s="949"/>
      <c r="Z254" s="11"/>
      <c r="AA254" s="11"/>
      <c r="AB254" s="11"/>
      <c r="AC254" s="11"/>
      <c r="AD254" s="11"/>
    </row>
    <row r="255" ht="13.55" customHeight="1">
      <c r="A255" s="10"/>
      <c r="B255" s="11"/>
      <c r="C255" s="11"/>
      <c r="D255" s="11"/>
      <c r="E255" s="11"/>
      <c r="F255" s="11"/>
      <c r="G255" s="11"/>
      <c r="H255" s="11"/>
      <c r="I255" s="11"/>
      <c r="J255" s="11"/>
      <c r="K255" s="11"/>
      <c r="L255" s="11"/>
      <c r="M255" s="11"/>
      <c r="N255" s="11"/>
      <c r="O255" s="11"/>
      <c r="P255" s="11"/>
      <c r="Q255" s="11"/>
      <c r="R255" s="11"/>
      <c r="S255" s="11"/>
      <c r="T255" s="11"/>
      <c r="U255" s="11"/>
      <c r="V255" s="1058"/>
      <c r="W255" t="s" s="1035">
        <v>779</v>
      </c>
      <c r="X255" s="1040"/>
      <c r="Y255" s="949"/>
      <c r="Z255" s="11"/>
      <c r="AA255" s="11"/>
      <c r="AB255" s="11"/>
      <c r="AC255" s="11"/>
      <c r="AD255" s="11"/>
    </row>
    <row r="256" ht="13.55" customHeight="1">
      <c r="A256" s="10"/>
      <c r="B256" s="11"/>
      <c r="C256" s="11"/>
      <c r="D256" s="11"/>
      <c r="E256" s="11"/>
      <c r="F256" s="11"/>
      <c r="G256" s="11"/>
      <c r="H256" s="11"/>
      <c r="I256" s="11"/>
      <c r="J256" s="11"/>
      <c r="K256" s="11"/>
      <c r="L256" s="11"/>
      <c r="M256" s="11"/>
      <c r="N256" s="11"/>
      <c r="O256" s="11"/>
      <c r="P256" s="11"/>
      <c r="Q256" s="11"/>
      <c r="R256" s="11"/>
      <c r="S256" s="11"/>
      <c r="T256" s="11"/>
      <c r="U256" s="11"/>
      <c r="V256" s="1058"/>
      <c r="W256" t="s" s="1035">
        <v>780</v>
      </c>
      <c r="X256" s="1040"/>
      <c r="Y256" s="949"/>
      <c r="Z256" s="11"/>
      <c r="AA256" s="11"/>
      <c r="AB256" s="11"/>
      <c r="AC256" s="11"/>
      <c r="AD256" s="11"/>
    </row>
    <row r="257" ht="13.55" customHeight="1">
      <c r="A257" s="10"/>
      <c r="B257" s="11"/>
      <c r="C257" s="11"/>
      <c r="D257" s="11"/>
      <c r="E257" s="11"/>
      <c r="F257" s="11"/>
      <c r="G257" s="11"/>
      <c r="H257" s="11"/>
      <c r="I257" s="11"/>
      <c r="J257" s="11"/>
      <c r="K257" s="11"/>
      <c r="L257" s="11"/>
      <c r="M257" s="11"/>
      <c r="N257" s="11"/>
      <c r="O257" s="11"/>
      <c r="P257" s="11"/>
      <c r="Q257" s="11"/>
      <c r="R257" s="11"/>
      <c r="S257" s="11"/>
      <c r="T257" s="11"/>
      <c r="U257" s="11"/>
      <c r="V257" s="1058"/>
      <c r="W257" t="s" s="1035">
        <v>781</v>
      </c>
      <c r="X257" s="1040"/>
      <c r="Y257" s="949"/>
      <c r="Z257" s="11"/>
      <c r="AA257" s="11"/>
      <c r="AB257" s="11"/>
      <c r="AC257" s="11"/>
      <c r="AD257" s="11"/>
    </row>
    <row r="258" ht="13.55" customHeight="1">
      <c r="A258" s="10"/>
      <c r="B258" s="11"/>
      <c r="C258" s="11"/>
      <c r="D258" s="11"/>
      <c r="E258" s="11"/>
      <c r="F258" s="11"/>
      <c r="G258" s="11"/>
      <c r="H258" s="11"/>
      <c r="I258" s="11"/>
      <c r="J258" s="11"/>
      <c r="K258" s="11"/>
      <c r="L258" s="11"/>
      <c r="M258" s="11"/>
      <c r="N258" s="11"/>
      <c r="O258" s="11"/>
      <c r="P258" s="11"/>
      <c r="Q258" s="11"/>
      <c r="R258" s="11"/>
      <c r="S258" s="11"/>
      <c r="T258" s="11"/>
      <c r="U258" s="11"/>
      <c r="V258" s="1058"/>
      <c r="W258" t="s" s="1035">
        <v>782</v>
      </c>
      <c r="X258" s="1040"/>
      <c r="Y258" s="949"/>
      <c r="Z258" s="11"/>
      <c r="AA258" s="11"/>
      <c r="AB258" s="11"/>
      <c r="AC258" s="11"/>
      <c r="AD258" s="11"/>
    </row>
    <row r="259" ht="13.55" customHeight="1">
      <c r="A259" s="10"/>
      <c r="B259" s="11"/>
      <c r="C259" s="11"/>
      <c r="D259" s="11"/>
      <c r="E259" s="11"/>
      <c r="F259" s="11"/>
      <c r="G259" s="11"/>
      <c r="H259" s="11"/>
      <c r="I259" s="11"/>
      <c r="J259" s="11"/>
      <c r="K259" s="11"/>
      <c r="L259" s="11"/>
      <c r="M259" s="11"/>
      <c r="N259" s="11"/>
      <c r="O259" s="11"/>
      <c r="P259" s="11"/>
      <c r="Q259" s="11"/>
      <c r="R259" s="11"/>
      <c r="S259" s="11"/>
      <c r="T259" s="11"/>
      <c r="U259" s="11"/>
      <c r="V259" s="1058"/>
      <c r="W259" t="s" s="1035">
        <v>783</v>
      </c>
      <c r="X259" s="1040"/>
      <c r="Y259" s="949"/>
      <c r="Z259" s="11"/>
      <c r="AA259" s="11"/>
      <c r="AB259" s="11"/>
      <c r="AC259" s="11"/>
      <c r="AD259" s="11"/>
    </row>
    <row r="260" ht="13.55" customHeight="1">
      <c r="A260" s="10"/>
      <c r="B260" s="11"/>
      <c r="C260" s="11"/>
      <c r="D260" s="11"/>
      <c r="E260" s="11"/>
      <c r="F260" s="11"/>
      <c r="G260" s="11"/>
      <c r="H260" s="11"/>
      <c r="I260" s="11"/>
      <c r="J260" s="11"/>
      <c r="K260" s="11"/>
      <c r="L260" s="11"/>
      <c r="M260" s="11"/>
      <c r="N260" s="11"/>
      <c r="O260" s="11"/>
      <c r="P260" s="11"/>
      <c r="Q260" s="11"/>
      <c r="R260" s="11"/>
      <c r="S260" s="11"/>
      <c r="T260" s="11"/>
      <c r="U260" s="11"/>
      <c r="V260" s="1058"/>
      <c r="W260" t="s" s="1035">
        <v>784</v>
      </c>
      <c r="X260" s="1040"/>
      <c r="Y260" s="949"/>
      <c r="Z260" s="11"/>
      <c r="AA260" s="11"/>
      <c r="AB260" s="11"/>
      <c r="AC260" s="11"/>
      <c r="AD260" s="11"/>
    </row>
    <row r="261" ht="13.55" customHeight="1">
      <c r="A261" s="10"/>
      <c r="B261" s="11"/>
      <c r="C261" s="11"/>
      <c r="D261" s="11"/>
      <c r="E261" s="11"/>
      <c r="F261" s="11"/>
      <c r="G261" s="11"/>
      <c r="H261" s="11"/>
      <c r="I261" s="11"/>
      <c r="J261" s="11"/>
      <c r="K261" s="11"/>
      <c r="L261" s="11"/>
      <c r="M261" s="11"/>
      <c r="N261" s="11"/>
      <c r="O261" s="11"/>
      <c r="P261" s="11"/>
      <c r="Q261" s="11"/>
      <c r="R261" s="11"/>
      <c r="S261" s="11"/>
      <c r="T261" s="11"/>
      <c r="U261" s="11"/>
      <c r="V261" s="1058"/>
      <c r="W261" t="s" s="1035">
        <v>785</v>
      </c>
      <c r="X261" s="1040"/>
      <c r="Y261" s="949"/>
      <c r="Z261" s="11"/>
      <c r="AA261" s="11"/>
      <c r="AB261" s="11"/>
      <c r="AC261" s="11"/>
      <c r="AD261" s="11"/>
    </row>
    <row r="262" ht="13.55" customHeight="1">
      <c r="A262" s="10"/>
      <c r="B262" s="11"/>
      <c r="C262" s="11"/>
      <c r="D262" s="11"/>
      <c r="E262" s="11"/>
      <c r="F262" s="11"/>
      <c r="G262" s="11"/>
      <c r="H262" s="11"/>
      <c r="I262" s="11"/>
      <c r="J262" s="11"/>
      <c r="K262" s="11"/>
      <c r="L262" s="11"/>
      <c r="M262" s="11"/>
      <c r="N262" s="11"/>
      <c r="O262" s="11"/>
      <c r="P262" s="11"/>
      <c r="Q262" s="11"/>
      <c r="R262" s="11"/>
      <c r="S262" s="11"/>
      <c r="T262" s="11"/>
      <c r="U262" s="11"/>
      <c r="V262" s="1058"/>
      <c r="W262" t="s" s="1035">
        <v>786</v>
      </c>
      <c r="X262" s="1040"/>
      <c r="Y262" s="949"/>
      <c r="Z262" s="11"/>
      <c r="AA262" s="11"/>
      <c r="AB262" s="11"/>
      <c r="AC262" s="11"/>
      <c r="AD262" s="11"/>
    </row>
    <row r="263" ht="13.55" customHeight="1">
      <c r="A263" s="10"/>
      <c r="B263" s="11"/>
      <c r="C263" s="11"/>
      <c r="D263" s="11"/>
      <c r="E263" s="11"/>
      <c r="F263" s="11"/>
      <c r="G263" s="11"/>
      <c r="H263" s="11"/>
      <c r="I263" s="11"/>
      <c r="J263" s="11"/>
      <c r="K263" s="11"/>
      <c r="L263" s="11"/>
      <c r="M263" s="11"/>
      <c r="N263" s="11"/>
      <c r="O263" s="11"/>
      <c r="P263" s="11"/>
      <c r="Q263" s="11"/>
      <c r="R263" s="11"/>
      <c r="S263" s="11"/>
      <c r="T263" s="11"/>
      <c r="U263" s="11"/>
      <c r="V263" s="1058"/>
      <c r="W263" t="s" s="1035">
        <v>787</v>
      </c>
      <c r="X263" s="1040"/>
      <c r="Y263" s="949"/>
      <c r="Z263" s="11"/>
      <c r="AA263" s="11"/>
      <c r="AB263" s="11"/>
      <c r="AC263" s="11"/>
      <c r="AD263" s="11"/>
    </row>
    <row r="264" ht="13.55" customHeight="1">
      <c r="A264" s="10"/>
      <c r="B264" s="11"/>
      <c r="C264" s="11"/>
      <c r="D264" s="11"/>
      <c r="E264" s="11"/>
      <c r="F264" s="11"/>
      <c r="G264" s="11"/>
      <c r="H264" s="11"/>
      <c r="I264" s="11"/>
      <c r="J264" s="11"/>
      <c r="K264" s="11"/>
      <c r="L264" s="11"/>
      <c r="M264" s="11"/>
      <c r="N264" s="11"/>
      <c r="O264" s="11"/>
      <c r="P264" s="11"/>
      <c r="Q264" s="11"/>
      <c r="R264" s="11"/>
      <c r="S264" s="11"/>
      <c r="T264" s="11"/>
      <c r="U264" s="11"/>
      <c r="V264" s="1058"/>
      <c r="W264" t="s" s="1035">
        <v>788</v>
      </c>
      <c r="X264" s="1040"/>
      <c r="Y264" s="949"/>
      <c r="Z264" s="11"/>
      <c r="AA264" s="11"/>
      <c r="AB264" s="11"/>
      <c r="AC264" s="11"/>
      <c r="AD264" s="11"/>
    </row>
    <row r="265" ht="13.55" customHeight="1">
      <c r="A265" s="10"/>
      <c r="B265" s="11"/>
      <c r="C265" s="11"/>
      <c r="D265" s="11"/>
      <c r="E265" s="11"/>
      <c r="F265" s="11"/>
      <c r="G265" s="11"/>
      <c r="H265" s="11"/>
      <c r="I265" s="11"/>
      <c r="J265" s="11"/>
      <c r="K265" s="11"/>
      <c r="L265" s="11"/>
      <c r="M265" s="11"/>
      <c r="N265" s="11"/>
      <c r="O265" s="11"/>
      <c r="P265" s="11"/>
      <c r="Q265" s="11"/>
      <c r="R265" s="11"/>
      <c r="S265" s="11"/>
      <c r="T265" s="11"/>
      <c r="U265" s="11"/>
      <c r="V265" s="1058"/>
      <c r="W265" t="s" s="1035">
        <v>789</v>
      </c>
      <c r="X265" s="1040"/>
      <c r="Y265" s="949"/>
      <c r="Z265" s="11"/>
      <c r="AA265" s="11"/>
      <c r="AB265" s="11"/>
      <c r="AC265" s="11"/>
      <c r="AD265" s="11"/>
    </row>
    <row r="266" ht="13.55" customHeight="1">
      <c r="A266" s="10"/>
      <c r="B266" s="11"/>
      <c r="C266" s="11"/>
      <c r="D266" s="11"/>
      <c r="E266" s="11"/>
      <c r="F266" s="11"/>
      <c r="G266" s="11"/>
      <c r="H266" s="11"/>
      <c r="I266" s="11"/>
      <c r="J266" s="11"/>
      <c r="K266" s="11"/>
      <c r="L266" s="11"/>
      <c r="M266" s="11"/>
      <c r="N266" s="11"/>
      <c r="O266" s="11"/>
      <c r="P266" s="11"/>
      <c r="Q266" s="11"/>
      <c r="R266" s="11"/>
      <c r="S266" s="11"/>
      <c r="T266" s="11"/>
      <c r="U266" s="11"/>
      <c r="V266" s="1058"/>
      <c r="W266" t="s" s="1035">
        <v>790</v>
      </c>
      <c r="X266" s="1040"/>
      <c r="Y266" s="949"/>
      <c r="Z266" s="11"/>
      <c r="AA266" s="11"/>
      <c r="AB266" s="11"/>
      <c r="AC266" s="11"/>
      <c r="AD266" s="11"/>
    </row>
    <row r="267" ht="13.55" customHeight="1">
      <c r="A267" s="10"/>
      <c r="B267" s="11"/>
      <c r="C267" s="11"/>
      <c r="D267" s="11"/>
      <c r="E267" s="11"/>
      <c r="F267" s="11"/>
      <c r="G267" s="11"/>
      <c r="H267" s="11"/>
      <c r="I267" s="11"/>
      <c r="J267" s="11"/>
      <c r="K267" s="11"/>
      <c r="L267" s="11"/>
      <c r="M267" s="11"/>
      <c r="N267" s="11"/>
      <c r="O267" s="11"/>
      <c r="P267" s="11"/>
      <c r="Q267" s="11"/>
      <c r="R267" s="11"/>
      <c r="S267" s="11"/>
      <c r="T267" s="11"/>
      <c r="U267" s="11"/>
      <c r="V267" s="1058"/>
      <c r="W267" t="s" s="1035">
        <v>791</v>
      </c>
      <c r="X267" s="1040"/>
      <c r="Y267" s="949"/>
      <c r="Z267" s="11"/>
      <c r="AA267" s="11"/>
      <c r="AB267" s="11"/>
      <c r="AC267" s="11"/>
      <c r="AD267" s="11"/>
    </row>
    <row r="268" ht="13.55" customHeight="1">
      <c r="A268" s="10"/>
      <c r="B268" s="11"/>
      <c r="C268" s="11"/>
      <c r="D268" s="11"/>
      <c r="E268" s="11"/>
      <c r="F268" s="11"/>
      <c r="G268" s="11"/>
      <c r="H268" s="11"/>
      <c r="I268" s="11"/>
      <c r="J268" s="11"/>
      <c r="K268" s="11"/>
      <c r="L268" s="11"/>
      <c r="M268" s="11"/>
      <c r="N268" s="11"/>
      <c r="O268" s="11"/>
      <c r="P268" s="11"/>
      <c r="Q268" s="11"/>
      <c r="R268" s="11"/>
      <c r="S268" s="11"/>
      <c r="T268" s="11"/>
      <c r="U268" s="11"/>
      <c r="V268" s="1058"/>
      <c r="W268" t="s" s="1035">
        <v>792</v>
      </c>
      <c r="X268" s="1040"/>
      <c r="Y268" s="949"/>
      <c r="Z268" s="11"/>
      <c r="AA268" s="11"/>
      <c r="AB268" s="11"/>
      <c r="AC268" s="11"/>
      <c r="AD268" s="11"/>
    </row>
    <row r="269" ht="13.55" customHeight="1">
      <c r="A269" s="10"/>
      <c r="B269" s="11"/>
      <c r="C269" s="11"/>
      <c r="D269" s="11"/>
      <c r="E269" s="11"/>
      <c r="F269" s="11"/>
      <c r="G269" s="11"/>
      <c r="H269" s="11"/>
      <c r="I269" s="11"/>
      <c r="J269" s="11"/>
      <c r="K269" s="11"/>
      <c r="L269" s="11"/>
      <c r="M269" s="11"/>
      <c r="N269" s="11"/>
      <c r="O269" s="11"/>
      <c r="P269" s="11"/>
      <c r="Q269" s="11"/>
      <c r="R269" s="11"/>
      <c r="S269" s="11"/>
      <c r="T269" s="11"/>
      <c r="U269" s="11"/>
      <c r="V269" s="1058"/>
      <c r="W269" t="s" s="1035">
        <v>793</v>
      </c>
      <c r="X269" s="1040"/>
      <c r="Y269" s="949"/>
      <c r="Z269" s="11"/>
      <c r="AA269" s="11"/>
      <c r="AB269" s="11"/>
      <c r="AC269" s="11"/>
      <c r="AD269" s="11"/>
    </row>
    <row r="270" ht="13.55" customHeight="1">
      <c r="A270" s="10"/>
      <c r="B270" s="11"/>
      <c r="C270" s="11"/>
      <c r="D270" s="11"/>
      <c r="E270" s="11"/>
      <c r="F270" s="11"/>
      <c r="G270" s="11"/>
      <c r="H270" s="11"/>
      <c r="I270" s="11"/>
      <c r="J270" s="11"/>
      <c r="K270" s="11"/>
      <c r="L270" s="11"/>
      <c r="M270" s="11"/>
      <c r="N270" s="11"/>
      <c r="O270" s="11"/>
      <c r="P270" s="11"/>
      <c r="Q270" s="11"/>
      <c r="R270" s="11"/>
      <c r="S270" s="11"/>
      <c r="T270" s="11"/>
      <c r="U270" s="11"/>
      <c r="V270" s="1058"/>
      <c r="W270" t="s" s="1035">
        <v>794</v>
      </c>
      <c r="X270" s="1040"/>
      <c r="Y270" s="949"/>
      <c r="Z270" s="11"/>
      <c r="AA270" s="11"/>
      <c r="AB270" s="11"/>
      <c r="AC270" s="11"/>
      <c r="AD270" s="11"/>
    </row>
    <row r="271" ht="13.55" customHeight="1">
      <c r="A271" s="10"/>
      <c r="B271" s="11"/>
      <c r="C271" s="11"/>
      <c r="D271" s="11"/>
      <c r="E271" s="11"/>
      <c r="F271" s="11"/>
      <c r="G271" s="11"/>
      <c r="H271" s="11"/>
      <c r="I271" s="11"/>
      <c r="J271" s="11"/>
      <c r="K271" s="11"/>
      <c r="L271" s="11"/>
      <c r="M271" s="11"/>
      <c r="N271" s="11"/>
      <c r="O271" s="11"/>
      <c r="P271" s="11"/>
      <c r="Q271" s="11"/>
      <c r="R271" s="11"/>
      <c r="S271" s="11"/>
      <c r="T271" s="11"/>
      <c r="U271" s="11"/>
      <c r="V271" s="1058"/>
      <c r="W271" t="s" s="1035">
        <v>795</v>
      </c>
      <c r="X271" s="1040"/>
      <c r="Y271" s="949"/>
      <c r="Z271" s="11"/>
      <c r="AA271" s="11"/>
      <c r="AB271" s="11"/>
      <c r="AC271" s="11"/>
      <c r="AD271" s="11"/>
    </row>
    <row r="272" ht="13.55" customHeight="1">
      <c r="A272" s="10"/>
      <c r="B272" s="11"/>
      <c r="C272" s="11"/>
      <c r="D272" s="11"/>
      <c r="E272" s="11"/>
      <c r="F272" s="11"/>
      <c r="G272" s="11"/>
      <c r="H272" s="11"/>
      <c r="I272" s="11"/>
      <c r="J272" s="11"/>
      <c r="K272" s="11"/>
      <c r="L272" s="11"/>
      <c r="M272" s="11"/>
      <c r="N272" s="11"/>
      <c r="O272" s="11"/>
      <c r="P272" s="11"/>
      <c r="Q272" s="11"/>
      <c r="R272" s="11"/>
      <c r="S272" s="11"/>
      <c r="T272" s="11"/>
      <c r="U272" s="11"/>
      <c r="V272" s="1058"/>
      <c r="W272" t="s" s="1035">
        <v>796</v>
      </c>
      <c r="X272" s="1040"/>
      <c r="Y272" s="949"/>
      <c r="Z272" s="11"/>
      <c r="AA272" s="11"/>
      <c r="AB272" s="11"/>
      <c r="AC272" s="11"/>
      <c r="AD272" s="11"/>
    </row>
    <row r="273" ht="13.55" customHeight="1">
      <c r="A273" s="10"/>
      <c r="B273" s="11"/>
      <c r="C273" s="11"/>
      <c r="D273" s="11"/>
      <c r="E273" s="11"/>
      <c r="F273" s="11"/>
      <c r="G273" s="11"/>
      <c r="H273" s="11"/>
      <c r="I273" s="11"/>
      <c r="J273" s="11"/>
      <c r="K273" s="11"/>
      <c r="L273" s="11"/>
      <c r="M273" s="11"/>
      <c r="N273" s="11"/>
      <c r="O273" s="11"/>
      <c r="P273" s="11"/>
      <c r="Q273" s="11"/>
      <c r="R273" s="11"/>
      <c r="S273" s="11"/>
      <c r="T273" s="11"/>
      <c r="U273" s="11"/>
      <c r="V273" s="1058"/>
      <c r="W273" t="s" s="1035">
        <v>797</v>
      </c>
      <c r="X273" s="1040"/>
      <c r="Y273" s="949"/>
      <c r="Z273" s="11"/>
      <c r="AA273" s="11"/>
      <c r="AB273" s="11"/>
      <c r="AC273" s="11"/>
      <c r="AD273" s="11"/>
    </row>
    <row r="274" ht="13.55" customHeight="1">
      <c r="A274" s="10"/>
      <c r="B274" s="11"/>
      <c r="C274" s="11"/>
      <c r="D274" s="11"/>
      <c r="E274" s="11"/>
      <c r="F274" s="11"/>
      <c r="G274" s="11"/>
      <c r="H274" s="11"/>
      <c r="I274" s="11"/>
      <c r="J274" s="11"/>
      <c r="K274" s="11"/>
      <c r="L274" s="11"/>
      <c r="M274" s="11"/>
      <c r="N274" s="11"/>
      <c r="O274" s="11"/>
      <c r="P274" s="11"/>
      <c r="Q274" s="11"/>
      <c r="R274" s="11"/>
      <c r="S274" s="11"/>
      <c r="T274" s="11"/>
      <c r="U274" s="11"/>
      <c r="V274" s="1058"/>
      <c r="W274" t="s" s="1035">
        <v>798</v>
      </c>
      <c r="X274" s="1040"/>
      <c r="Y274" s="949"/>
      <c r="Z274" s="11"/>
      <c r="AA274" s="11"/>
      <c r="AB274" s="11"/>
      <c r="AC274" s="11"/>
      <c r="AD274" s="11"/>
    </row>
    <row r="275" ht="13.55" customHeight="1">
      <c r="A275" s="10"/>
      <c r="B275" s="11"/>
      <c r="C275" s="11"/>
      <c r="D275" s="11"/>
      <c r="E275" s="11"/>
      <c r="F275" s="11"/>
      <c r="G275" s="11"/>
      <c r="H275" s="11"/>
      <c r="I275" s="11"/>
      <c r="J275" s="11"/>
      <c r="K275" s="11"/>
      <c r="L275" s="11"/>
      <c r="M275" s="11"/>
      <c r="N275" s="11"/>
      <c r="O275" s="11"/>
      <c r="P275" s="11"/>
      <c r="Q275" s="11"/>
      <c r="R275" s="11"/>
      <c r="S275" s="11"/>
      <c r="T275" s="11"/>
      <c r="U275" s="11"/>
      <c r="V275" s="1058"/>
      <c r="W275" t="s" s="1035">
        <v>799</v>
      </c>
      <c r="X275" s="1040"/>
      <c r="Y275" s="949"/>
      <c r="Z275" s="11"/>
      <c r="AA275" s="11"/>
      <c r="AB275" s="11"/>
      <c r="AC275" s="11"/>
      <c r="AD275" s="11"/>
    </row>
    <row r="276" ht="13.55" customHeight="1">
      <c r="A276" s="10"/>
      <c r="B276" s="11"/>
      <c r="C276" s="11"/>
      <c r="D276" s="11"/>
      <c r="E276" s="11"/>
      <c r="F276" s="11"/>
      <c r="G276" s="11"/>
      <c r="H276" s="11"/>
      <c r="I276" s="11"/>
      <c r="J276" s="11"/>
      <c r="K276" s="11"/>
      <c r="L276" s="11"/>
      <c r="M276" s="11"/>
      <c r="N276" s="11"/>
      <c r="O276" s="11"/>
      <c r="P276" s="11"/>
      <c r="Q276" s="11"/>
      <c r="R276" s="11"/>
      <c r="S276" s="11"/>
      <c r="T276" s="11"/>
      <c r="U276" s="11"/>
      <c r="V276" s="1058"/>
      <c r="W276" t="s" s="1035">
        <v>800</v>
      </c>
      <c r="X276" s="1040"/>
      <c r="Y276" s="949"/>
      <c r="Z276" s="11"/>
      <c r="AA276" s="11"/>
      <c r="AB276" s="11"/>
      <c r="AC276" s="11"/>
      <c r="AD276" s="11"/>
    </row>
    <row r="277" ht="13.55" customHeight="1">
      <c r="A277" s="10"/>
      <c r="B277" s="11"/>
      <c r="C277" s="11"/>
      <c r="D277" s="11"/>
      <c r="E277" s="11"/>
      <c r="F277" s="11"/>
      <c r="G277" s="11"/>
      <c r="H277" s="11"/>
      <c r="I277" s="11"/>
      <c r="J277" s="11"/>
      <c r="K277" s="11"/>
      <c r="L277" s="11"/>
      <c r="M277" s="11"/>
      <c r="N277" s="11"/>
      <c r="O277" s="11"/>
      <c r="P277" s="11"/>
      <c r="Q277" s="11"/>
      <c r="R277" s="11"/>
      <c r="S277" s="11"/>
      <c r="T277" s="11"/>
      <c r="U277" s="11"/>
      <c r="V277" s="1058"/>
      <c r="W277" t="s" s="1035">
        <v>801</v>
      </c>
      <c r="X277" s="1040"/>
      <c r="Y277" s="949"/>
      <c r="Z277" s="11"/>
      <c r="AA277" s="11"/>
      <c r="AB277" s="11"/>
      <c r="AC277" s="11"/>
      <c r="AD277" s="11"/>
    </row>
    <row r="278" ht="13.55" customHeight="1">
      <c r="A278" s="10"/>
      <c r="B278" s="11"/>
      <c r="C278" s="11"/>
      <c r="D278" s="11"/>
      <c r="E278" s="11"/>
      <c r="F278" s="11"/>
      <c r="G278" s="11"/>
      <c r="H278" s="11"/>
      <c r="I278" s="11"/>
      <c r="J278" s="11"/>
      <c r="K278" s="11"/>
      <c r="L278" s="11"/>
      <c r="M278" s="11"/>
      <c r="N278" s="11"/>
      <c r="O278" s="11"/>
      <c r="P278" s="11"/>
      <c r="Q278" s="11"/>
      <c r="R278" s="11"/>
      <c r="S278" s="11"/>
      <c r="T278" s="11"/>
      <c r="U278" s="11"/>
      <c r="V278" s="1058"/>
      <c r="W278" t="s" s="1035">
        <v>802</v>
      </c>
      <c r="X278" s="1040"/>
      <c r="Y278" s="949"/>
      <c r="Z278" s="11"/>
      <c r="AA278" s="11"/>
      <c r="AB278" s="11"/>
      <c r="AC278" s="11"/>
      <c r="AD278" s="11"/>
    </row>
    <row r="279" ht="13.55" customHeight="1">
      <c r="A279" s="10"/>
      <c r="B279" s="11"/>
      <c r="C279" s="11"/>
      <c r="D279" s="11"/>
      <c r="E279" s="11"/>
      <c r="F279" s="11"/>
      <c r="G279" s="11"/>
      <c r="H279" s="11"/>
      <c r="I279" s="11"/>
      <c r="J279" s="11"/>
      <c r="K279" s="11"/>
      <c r="L279" s="11"/>
      <c r="M279" s="11"/>
      <c r="N279" s="11"/>
      <c r="O279" s="11"/>
      <c r="P279" s="11"/>
      <c r="Q279" s="11"/>
      <c r="R279" s="11"/>
      <c r="S279" s="11"/>
      <c r="T279" s="11"/>
      <c r="U279" s="11"/>
      <c r="V279" s="1058"/>
      <c r="W279" t="s" s="1035">
        <v>803</v>
      </c>
      <c r="X279" s="1040"/>
      <c r="Y279" s="949"/>
      <c r="Z279" s="11"/>
      <c r="AA279" s="11"/>
      <c r="AB279" s="11"/>
      <c r="AC279" s="11"/>
      <c r="AD279" s="11"/>
    </row>
    <row r="280" ht="13.55" customHeight="1">
      <c r="A280" s="10"/>
      <c r="B280" s="11"/>
      <c r="C280" s="11"/>
      <c r="D280" s="11"/>
      <c r="E280" s="11"/>
      <c r="F280" s="11"/>
      <c r="G280" s="11"/>
      <c r="H280" s="11"/>
      <c r="I280" s="11"/>
      <c r="J280" s="11"/>
      <c r="K280" s="11"/>
      <c r="L280" s="11"/>
      <c r="M280" s="11"/>
      <c r="N280" s="11"/>
      <c r="O280" s="11"/>
      <c r="P280" s="11"/>
      <c r="Q280" s="11"/>
      <c r="R280" s="11"/>
      <c r="S280" s="11"/>
      <c r="T280" s="11"/>
      <c r="U280" s="11"/>
      <c r="V280" s="1058"/>
      <c r="W280" t="s" s="1035">
        <v>804</v>
      </c>
      <c r="X280" s="1040"/>
      <c r="Y280" s="949"/>
      <c r="Z280" s="11"/>
      <c r="AA280" s="11"/>
      <c r="AB280" s="11"/>
      <c r="AC280" s="11"/>
      <c r="AD280" s="11"/>
    </row>
    <row r="281" ht="13.55" customHeight="1">
      <c r="A281" s="10"/>
      <c r="B281" s="11"/>
      <c r="C281" s="11"/>
      <c r="D281" s="11"/>
      <c r="E281" s="11"/>
      <c r="F281" s="11"/>
      <c r="G281" s="11"/>
      <c r="H281" s="11"/>
      <c r="I281" s="11"/>
      <c r="J281" s="11"/>
      <c r="K281" s="11"/>
      <c r="L281" s="11"/>
      <c r="M281" s="11"/>
      <c r="N281" s="11"/>
      <c r="O281" s="11"/>
      <c r="P281" s="11"/>
      <c r="Q281" s="11"/>
      <c r="R281" s="11"/>
      <c r="S281" s="11"/>
      <c r="T281" s="11"/>
      <c r="U281" s="11"/>
      <c r="V281" s="1058"/>
      <c r="W281" t="s" s="1035">
        <v>805</v>
      </c>
      <c r="X281" s="1040"/>
      <c r="Y281" s="949"/>
      <c r="Z281" s="11"/>
      <c r="AA281" s="11"/>
      <c r="AB281" s="11"/>
      <c r="AC281" s="11"/>
      <c r="AD281" s="11"/>
    </row>
    <row r="282" ht="13.55" customHeight="1">
      <c r="A282" s="10"/>
      <c r="B282" s="11"/>
      <c r="C282" s="11"/>
      <c r="D282" s="11"/>
      <c r="E282" s="11"/>
      <c r="F282" s="11"/>
      <c r="G282" s="11"/>
      <c r="H282" s="11"/>
      <c r="I282" s="11"/>
      <c r="J282" s="11"/>
      <c r="K282" s="11"/>
      <c r="L282" s="11"/>
      <c r="M282" s="11"/>
      <c r="N282" s="11"/>
      <c r="O282" s="11"/>
      <c r="P282" s="11"/>
      <c r="Q282" s="11"/>
      <c r="R282" s="11"/>
      <c r="S282" s="11"/>
      <c r="T282" s="11"/>
      <c r="U282" s="11"/>
      <c r="V282" s="1058"/>
      <c r="W282" t="s" s="1035">
        <v>806</v>
      </c>
      <c r="X282" s="1040"/>
      <c r="Y282" s="949"/>
      <c r="Z282" s="11"/>
      <c r="AA282" s="11"/>
      <c r="AB282" s="11"/>
      <c r="AC282" s="11"/>
      <c r="AD282" s="11"/>
    </row>
    <row r="283" ht="13.55" customHeight="1">
      <c r="A283" s="10"/>
      <c r="B283" s="11"/>
      <c r="C283" s="11"/>
      <c r="D283" s="11"/>
      <c r="E283" s="11"/>
      <c r="F283" s="11"/>
      <c r="G283" s="11"/>
      <c r="H283" s="11"/>
      <c r="I283" s="11"/>
      <c r="J283" s="11"/>
      <c r="K283" s="11"/>
      <c r="L283" s="11"/>
      <c r="M283" s="11"/>
      <c r="N283" s="11"/>
      <c r="O283" s="11"/>
      <c r="P283" s="11"/>
      <c r="Q283" s="11"/>
      <c r="R283" s="11"/>
      <c r="S283" s="11"/>
      <c r="T283" s="11"/>
      <c r="U283" s="11"/>
      <c r="V283" s="1058"/>
      <c r="W283" t="s" s="1035">
        <v>807</v>
      </c>
      <c r="X283" s="1040"/>
      <c r="Y283" s="949"/>
      <c r="Z283" s="11"/>
      <c r="AA283" s="11"/>
      <c r="AB283" s="11"/>
      <c r="AC283" s="11"/>
      <c r="AD283" s="11"/>
    </row>
    <row r="284" ht="13.55" customHeight="1">
      <c r="A284" s="10"/>
      <c r="B284" s="11"/>
      <c r="C284" s="11"/>
      <c r="D284" s="11"/>
      <c r="E284" s="11"/>
      <c r="F284" s="11"/>
      <c r="G284" s="11"/>
      <c r="H284" s="11"/>
      <c r="I284" s="11"/>
      <c r="J284" s="11"/>
      <c r="K284" s="11"/>
      <c r="L284" s="11"/>
      <c r="M284" s="11"/>
      <c r="N284" s="11"/>
      <c r="O284" s="11"/>
      <c r="P284" s="11"/>
      <c r="Q284" s="11"/>
      <c r="R284" s="11"/>
      <c r="S284" s="11"/>
      <c r="T284" s="11"/>
      <c r="U284" s="11"/>
      <c r="V284" s="1058"/>
      <c r="W284" t="s" s="1035">
        <v>808</v>
      </c>
      <c r="X284" s="1040"/>
      <c r="Y284" s="949"/>
      <c r="Z284" s="11"/>
      <c r="AA284" s="11"/>
      <c r="AB284" s="11"/>
      <c r="AC284" s="11"/>
      <c r="AD284" s="11"/>
    </row>
    <row r="285" ht="13.55" customHeight="1">
      <c r="A285" s="10"/>
      <c r="B285" s="11"/>
      <c r="C285" s="11"/>
      <c r="D285" s="11"/>
      <c r="E285" s="11"/>
      <c r="F285" s="11"/>
      <c r="G285" s="11"/>
      <c r="H285" s="11"/>
      <c r="I285" s="11"/>
      <c r="J285" s="11"/>
      <c r="K285" s="11"/>
      <c r="L285" s="11"/>
      <c r="M285" s="11"/>
      <c r="N285" s="11"/>
      <c r="O285" s="11"/>
      <c r="P285" s="11"/>
      <c r="Q285" s="11"/>
      <c r="R285" s="11"/>
      <c r="S285" s="11"/>
      <c r="T285" s="11"/>
      <c r="U285" s="11"/>
      <c r="V285" s="1058"/>
      <c r="W285" t="s" s="1035">
        <v>809</v>
      </c>
      <c r="X285" s="1040"/>
      <c r="Y285" s="949"/>
      <c r="Z285" s="11"/>
      <c r="AA285" s="11"/>
      <c r="AB285" s="11"/>
      <c r="AC285" s="11"/>
      <c r="AD285" s="11"/>
    </row>
    <row r="286" ht="13.55" customHeight="1">
      <c r="A286" s="10"/>
      <c r="B286" s="11"/>
      <c r="C286" s="11"/>
      <c r="D286" s="11"/>
      <c r="E286" s="11"/>
      <c r="F286" s="11"/>
      <c r="G286" s="11"/>
      <c r="H286" s="11"/>
      <c r="I286" s="11"/>
      <c r="J286" s="11"/>
      <c r="K286" s="11"/>
      <c r="L286" s="11"/>
      <c r="M286" s="11"/>
      <c r="N286" s="11"/>
      <c r="O286" s="11"/>
      <c r="P286" s="11"/>
      <c r="Q286" s="11"/>
      <c r="R286" s="11"/>
      <c r="S286" s="11"/>
      <c r="T286" s="11"/>
      <c r="U286" s="11"/>
      <c r="V286" s="1058"/>
      <c r="W286" t="s" s="1035">
        <v>810</v>
      </c>
      <c r="X286" s="1040"/>
      <c r="Y286" s="949"/>
      <c r="Z286" s="11"/>
      <c r="AA286" s="11"/>
      <c r="AB286" s="11"/>
      <c r="AC286" s="11"/>
      <c r="AD286" s="11"/>
    </row>
    <row r="287" ht="13.55" customHeight="1">
      <c r="A287" s="10"/>
      <c r="B287" s="11"/>
      <c r="C287" s="11"/>
      <c r="D287" s="11"/>
      <c r="E287" s="11"/>
      <c r="F287" s="11"/>
      <c r="G287" s="11"/>
      <c r="H287" s="11"/>
      <c r="I287" s="11"/>
      <c r="J287" s="11"/>
      <c r="K287" s="11"/>
      <c r="L287" s="11"/>
      <c r="M287" s="11"/>
      <c r="N287" s="11"/>
      <c r="O287" s="11"/>
      <c r="P287" s="11"/>
      <c r="Q287" s="11"/>
      <c r="R287" s="11"/>
      <c r="S287" s="11"/>
      <c r="T287" s="11"/>
      <c r="U287" s="11"/>
      <c r="V287" s="1058"/>
      <c r="W287" t="s" s="1035">
        <v>811</v>
      </c>
      <c r="X287" s="1040"/>
      <c r="Y287" s="949"/>
      <c r="Z287" s="11"/>
      <c r="AA287" s="11"/>
      <c r="AB287" s="11"/>
      <c r="AC287" s="11"/>
      <c r="AD287" s="11"/>
    </row>
    <row r="288" ht="13.55" customHeight="1">
      <c r="A288" s="10"/>
      <c r="B288" s="11"/>
      <c r="C288" s="11"/>
      <c r="D288" s="11"/>
      <c r="E288" s="11"/>
      <c r="F288" s="11"/>
      <c r="G288" s="11"/>
      <c r="H288" s="11"/>
      <c r="I288" s="11"/>
      <c r="J288" s="11"/>
      <c r="K288" s="11"/>
      <c r="L288" s="11"/>
      <c r="M288" s="11"/>
      <c r="N288" s="11"/>
      <c r="O288" s="11"/>
      <c r="P288" s="11"/>
      <c r="Q288" s="11"/>
      <c r="R288" s="11"/>
      <c r="S288" s="11"/>
      <c r="T288" s="11"/>
      <c r="U288" s="11"/>
      <c r="V288" s="1058"/>
      <c r="W288" t="s" s="1035">
        <v>812</v>
      </c>
      <c r="X288" s="1040"/>
      <c r="Y288" s="949"/>
      <c r="Z288" s="11"/>
      <c r="AA288" s="11"/>
      <c r="AB288" s="11"/>
      <c r="AC288" s="11"/>
      <c r="AD288" s="11"/>
    </row>
    <row r="289" ht="13.55" customHeight="1">
      <c r="A289" s="10"/>
      <c r="B289" s="11"/>
      <c r="C289" s="11"/>
      <c r="D289" s="11"/>
      <c r="E289" s="11"/>
      <c r="F289" s="11"/>
      <c r="G289" s="11"/>
      <c r="H289" s="11"/>
      <c r="I289" s="11"/>
      <c r="J289" s="11"/>
      <c r="K289" s="11"/>
      <c r="L289" s="11"/>
      <c r="M289" s="11"/>
      <c r="N289" s="11"/>
      <c r="O289" s="11"/>
      <c r="P289" s="11"/>
      <c r="Q289" s="11"/>
      <c r="R289" s="11"/>
      <c r="S289" s="11"/>
      <c r="T289" s="11"/>
      <c r="U289" s="11"/>
      <c r="V289" s="1058"/>
      <c r="W289" t="s" s="1035">
        <v>813</v>
      </c>
      <c r="X289" s="1040"/>
      <c r="Y289" s="949"/>
      <c r="Z289" s="11"/>
      <c r="AA289" s="11"/>
      <c r="AB289" s="11"/>
      <c r="AC289" s="11"/>
      <c r="AD289" s="11"/>
    </row>
    <row r="290" ht="13.55" customHeight="1">
      <c r="A290" s="10"/>
      <c r="B290" s="11"/>
      <c r="C290" s="11"/>
      <c r="D290" s="11"/>
      <c r="E290" s="11"/>
      <c r="F290" s="11"/>
      <c r="G290" s="11"/>
      <c r="H290" s="11"/>
      <c r="I290" s="11"/>
      <c r="J290" s="11"/>
      <c r="K290" s="11"/>
      <c r="L290" s="11"/>
      <c r="M290" s="11"/>
      <c r="N290" s="11"/>
      <c r="O290" s="11"/>
      <c r="P290" s="11"/>
      <c r="Q290" s="11"/>
      <c r="R290" s="11"/>
      <c r="S290" s="11"/>
      <c r="T290" s="11"/>
      <c r="U290" s="11"/>
      <c r="V290" s="1058"/>
      <c r="W290" t="s" s="1035">
        <v>814</v>
      </c>
      <c r="X290" s="1040"/>
      <c r="Y290" s="949"/>
      <c r="Z290" s="11"/>
      <c r="AA290" s="11"/>
      <c r="AB290" s="11"/>
      <c r="AC290" s="11"/>
      <c r="AD290" s="11"/>
    </row>
    <row r="291" ht="13.55" customHeight="1">
      <c r="A291" s="10"/>
      <c r="B291" s="11"/>
      <c r="C291" s="11"/>
      <c r="D291" s="11"/>
      <c r="E291" s="11"/>
      <c r="F291" s="11"/>
      <c r="G291" s="11"/>
      <c r="H291" s="11"/>
      <c r="I291" s="11"/>
      <c r="J291" s="11"/>
      <c r="K291" s="11"/>
      <c r="L291" s="11"/>
      <c r="M291" s="11"/>
      <c r="N291" s="11"/>
      <c r="O291" s="11"/>
      <c r="P291" s="11"/>
      <c r="Q291" s="11"/>
      <c r="R291" s="11"/>
      <c r="S291" s="11"/>
      <c r="T291" s="11"/>
      <c r="U291" s="11"/>
      <c r="V291" s="1058"/>
      <c r="W291" t="s" s="1035">
        <v>815</v>
      </c>
      <c r="X291" s="1040"/>
      <c r="Y291" s="949"/>
      <c r="Z291" s="11"/>
      <c r="AA291" s="11"/>
      <c r="AB291" s="11"/>
      <c r="AC291" s="11"/>
      <c r="AD291" s="11"/>
    </row>
    <row r="292" ht="13.55" customHeight="1">
      <c r="A292" s="10"/>
      <c r="B292" s="11"/>
      <c r="C292" s="11"/>
      <c r="D292" s="11"/>
      <c r="E292" s="11"/>
      <c r="F292" s="11"/>
      <c r="G292" s="11"/>
      <c r="H292" s="11"/>
      <c r="I292" s="11"/>
      <c r="J292" s="11"/>
      <c r="K292" s="11"/>
      <c r="L292" s="11"/>
      <c r="M292" s="11"/>
      <c r="N292" s="11"/>
      <c r="O292" s="11"/>
      <c r="P292" s="11"/>
      <c r="Q292" s="11"/>
      <c r="R292" s="11"/>
      <c r="S292" s="11"/>
      <c r="T292" s="11"/>
      <c r="U292" s="11"/>
      <c r="V292" s="1058"/>
      <c r="W292" t="s" s="1035">
        <v>816</v>
      </c>
      <c r="X292" s="1040"/>
      <c r="Y292" s="949"/>
      <c r="Z292" s="11"/>
      <c r="AA292" s="11"/>
      <c r="AB292" s="11"/>
      <c r="AC292" s="11"/>
      <c r="AD292" s="11"/>
    </row>
    <row r="293" ht="13.55" customHeight="1">
      <c r="A293" s="10"/>
      <c r="B293" s="11"/>
      <c r="C293" s="11"/>
      <c r="D293" s="11"/>
      <c r="E293" s="11"/>
      <c r="F293" s="11"/>
      <c r="G293" s="11"/>
      <c r="H293" s="11"/>
      <c r="I293" s="11"/>
      <c r="J293" s="11"/>
      <c r="K293" s="11"/>
      <c r="L293" s="11"/>
      <c r="M293" s="11"/>
      <c r="N293" s="11"/>
      <c r="O293" s="11"/>
      <c r="P293" s="11"/>
      <c r="Q293" s="11"/>
      <c r="R293" s="11"/>
      <c r="S293" s="11"/>
      <c r="T293" s="11"/>
      <c r="U293" s="11"/>
      <c r="V293" s="1058"/>
      <c r="W293" t="s" s="1035">
        <v>817</v>
      </c>
      <c r="X293" s="1040"/>
      <c r="Y293" s="949"/>
      <c r="Z293" s="11"/>
      <c r="AA293" s="11"/>
      <c r="AB293" s="11"/>
      <c r="AC293" s="11"/>
      <c r="AD293" s="11"/>
    </row>
    <row r="294" ht="13.55" customHeight="1">
      <c r="A294" s="10"/>
      <c r="B294" s="11"/>
      <c r="C294" s="11"/>
      <c r="D294" s="11"/>
      <c r="E294" s="11"/>
      <c r="F294" s="11"/>
      <c r="G294" s="11"/>
      <c r="H294" s="11"/>
      <c r="I294" s="11"/>
      <c r="J294" s="11"/>
      <c r="K294" s="11"/>
      <c r="L294" s="11"/>
      <c r="M294" s="11"/>
      <c r="N294" s="11"/>
      <c r="O294" s="11"/>
      <c r="P294" s="11"/>
      <c r="Q294" s="11"/>
      <c r="R294" s="11"/>
      <c r="S294" s="11"/>
      <c r="T294" s="11"/>
      <c r="U294" s="11"/>
      <c r="V294" s="1058"/>
      <c r="W294" t="s" s="1035">
        <v>818</v>
      </c>
      <c r="X294" s="1040"/>
      <c r="Y294" s="949"/>
      <c r="Z294" s="11"/>
      <c r="AA294" s="11"/>
      <c r="AB294" s="11"/>
      <c r="AC294" s="11"/>
      <c r="AD294" s="11"/>
    </row>
    <row r="295" ht="13.55" customHeight="1">
      <c r="A295" s="10"/>
      <c r="B295" s="11"/>
      <c r="C295" s="11"/>
      <c r="D295" s="11"/>
      <c r="E295" s="11"/>
      <c r="F295" s="11"/>
      <c r="G295" s="11"/>
      <c r="H295" s="11"/>
      <c r="I295" s="11"/>
      <c r="J295" s="11"/>
      <c r="K295" s="11"/>
      <c r="L295" s="11"/>
      <c r="M295" s="11"/>
      <c r="N295" s="11"/>
      <c r="O295" s="11"/>
      <c r="P295" s="11"/>
      <c r="Q295" s="11"/>
      <c r="R295" s="11"/>
      <c r="S295" s="11"/>
      <c r="T295" s="11"/>
      <c r="U295" s="11"/>
      <c r="V295" s="1058"/>
      <c r="W295" t="s" s="1035">
        <v>819</v>
      </c>
      <c r="X295" s="1040"/>
      <c r="Y295" s="949"/>
      <c r="Z295" s="11"/>
      <c r="AA295" s="11"/>
      <c r="AB295" s="11"/>
      <c r="AC295" s="11"/>
      <c r="AD295" s="11"/>
    </row>
    <row r="296" ht="13.55" customHeight="1">
      <c r="A296" s="10"/>
      <c r="B296" s="11"/>
      <c r="C296" s="11"/>
      <c r="D296" s="11"/>
      <c r="E296" s="11"/>
      <c r="F296" s="11"/>
      <c r="G296" s="11"/>
      <c r="H296" s="11"/>
      <c r="I296" s="11"/>
      <c r="J296" s="11"/>
      <c r="K296" s="11"/>
      <c r="L296" s="11"/>
      <c r="M296" s="11"/>
      <c r="N296" s="11"/>
      <c r="O296" s="11"/>
      <c r="P296" s="11"/>
      <c r="Q296" s="11"/>
      <c r="R296" s="11"/>
      <c r="S296" s="11"/>
      <c r="T296" s="11"/>
      <c r="U296" s="11"/>
      <c r="V296" s="1058"/>
      <c r="W296" t="s" s="1035">
        <v>820</v>
      </c>
      <c r="X296" s="1040"/>
      <c r="Y296" s="949"/>
      <c r="Z296" s="11"/>
      <c r="AA296" s="11"/>
      <c r="AB296" s="11"/>
      <c r="AC296" s="11"/>
      <c r="AD296" s="11"/>
    </row>
    <row r="297" ht="13.55" customHeight="1">
      <c r="A297" s="10"/>
      <c r="B297" s="11"/>
      <c r="C297" s="11"/>
      <c r="D297" s="11"/>
      <c r="E297" s="11"/>
      <c r="F297" s="11"/>
      <c r="G297" s="11"/>
      <c r="H297" s="11"/>
      <c r="I297" s="11"/>
      <c r="J297" s="11"/>
      <c r="K297" s="11"/>
      <c r="L297" s="11"/>
      <c r="M297" s="11"/>
      <c r="N297" s="11"/>
      <c r="O297" s="11"/>
      <c r="P297" s="11"/>
      <c r="Q297" s="11"/>
      <c r="R297" s="11"/>
      <c r="S297" s="11"/>
      <c r="T297" s="11"/>
      <c r="U297" s="11"/>
      <c r="V297" s="1058"/>
      <c r="W297" t="s" s="1035">
        <v>821</v>
      </c>
      <c r="X297" s="1040"/>
      <c r="Y297" s="949"/>
      <c r="Z297" s="11"/>
      <c r="AA297" s="11"/>
      <c r="AB297" s="11"/>
      <c r="AC297" s="11"/>
      <c r="AD297" s="11"/>
    </row>
    <row r="298" ht="13.55" customHeight="1">
      <c r="A298" s="10"/>
      <c r="B298" s="11"/>
      <c r="C298" s="11"/>
      <c r="D298" s="11"/>
      <c r="E298" s="11"/>
      <c r="F298" s="11"/>
      <c r="G298" s="11"/>
      <c r="H298" s="11"/>
      <c r="I298" s="11"/>
      <c r="J298" s="11"/>
      <c r="K298" s="11"/>
      <c r="L298" s="11"/>
      <c r="M298" s="11"/>
      <c r="N298" s="11"/>
      <c r="O298" s="11"/>
      <c r="P298" s="11"/>
      <c r="Q298" s="11"/>
      <c r="R298" s="11"/>
      <c r="S298" s="11"/>
      <c r="T298" s="11"/>
      <c r="U298" s="11"/>
      <c r="V298" s="1058"/>
      <c r="W298" t="s" s="1035">
        <v>822</v>
      </c>
      <c r="X298" s="1040"/>
      <c r="Y298" s="949"/>
      <c r="Z298" s="11"/>
      <c r="AA298" s="11"/>
      <c r="AB298" s="11"/>
      <c r="AC298" s="11"/>
      <c r="AD298" s="11"/>
    </row>
    <row r="299" ht="13.55" customHeight="1">
      <c r="A299" s="10"/>
      <c r="B299" s="11"/>
      <c r="C299" s="11"/>
      <c r="D299" s="11"/>
      <c r="E299" s="11"/>
      <c r="F299" s="11"/>
      <c r="G299" s="11"/>
      <c r="H299" s="11"/>
      <c r="I299" s="11"/>
      <c r="J299" s="11"/>
      <c r="K299" s="11"/>
      <c r="L299" s="11"/>
      <c r="M299" s="11"/>
      <c r="N299" s="11"/>
      <c r="O299" s="11"/>
      <c r="P299" s="11"/>
      <c r="Q299" s="11"/>
      <c r="R299" s="11"/>
      <c r="S299" s="11"/>
      <c r="T299" s="11"/>
      <c r="U299" s="11"/>
      <c r="V299" s="1058"/>
      <c r="W299" t="s" s="1035">
        <v>823</v>
      </c>
      <c r="X299" s="1040"/>
      <c r="Y299" s="949"/>
      <c r="Z299" s="11"/>
      <c r="AA299" s="11"/>
      <c r="AB299" s="11"/>
      <c r="AC299" s="11"/>
      <c r="AD299" s="11"/>
    </row>
    <row r="300" ht="13.55" customHeight="1">
      <c r="A300" s="10"/>
      <c r="B300" s="11"/>
      <c r="C300" s="11"/>
      <c r="D300" s="11"/>
      <c r="E300" s="11"/>
      <c r="F300" s="11"/>
      <c r="G300" s="11"/>
      <c r="H300" s="11"/>
      <c r="I300" s="11"/>
      <c r="J300" s="11"/>
      <c r="K300" s="11"/>
      <c r="L300" s="11"/>
      <c r="M300" s="11"/>
      <c r="N300" s="11"/>
      <c r="O300" s="11"/>
      <c r="P300" s="11"/>
      <c r="Q300" s="11"/>
      <c r="R300" s="11"/>
      <c r="S300" s="11"/>
      <c r="T300" s="11"/>
      <c r="U300" s="11"/>
      <c r="V300" s="1058"/>
      <c r="W300" t="s" s="1035">
        <v>824</v>
      </c>
      <c r="X300" s="1040"/>
      <c r="Y300" s="949"/>
      <c r="Z300" s="11"/>
      <c r="AA300" s="11"/>
      <c r="AB300" s="11"/>
      <c r="AC300" s="11"/>
      <c r="AD300" s="11"/>
    </row>
    <row r="301" ht="13.55" customHeight="1">
      <c r="A301" s="10"/>
      <c r="B301" s="11"/>
      <c r="C301" s="11"/>
      <c r="D301" s="11"/>
      <c r="E301" s="11"/>
      <c r="F301" s="11"/>
      <c r="G301" s="11"/>
      <c r="H301" s="11"/>
      <c r="I301" s="11"/>
      <c r="J301" s="11"/>
      <c r="K301" s="11"/>
      <c r="L301" s="11"/>
      <c r="M301" s="11"/>
      <c r="N301" s="11"/>
      <c r="O301" s="11"/>
      <c r="P301" s="11"/>
      <c r="Q301" s="11"/>
      <c r="R301" s="11"/>
      <c r="S301" s="11"/>
      <c r="T301" s="11"/>
      <c r="U301" s="11"/>
      <c r="V301" s="1058"/>
      <c r="W301" t="s" s="1035">
        <v>825</v>
      </c>
      <c r="X301" s="1040"/>
      <c r="Y301" s="949"/>
      <c r="Z301" s="11"/>
      <c r="AA301" s="11"/>
      <c r="AB301" s="11"/>
      <c r="AC301" s="11"/>
      <c r="AD301" s="11"/>
    </row>
    <row r="302" ht="13.55" customHeight="1">
      <c r="A302" s="10"/>
      <c r="B302" s="11"/>
      <c r="C302" s="11"/>
      <c r="D302" s="11"/>
      <c r="E302" s="11"/>
      <c r="F302" s="11"/>
      <c r="G302" s="11"/>
      <c r="H302" s="11"/>
      <c r="I302" s="11"/>
      <c r="J302" s="11"/>
      <c r="K302" s="11"/>
      <c r="L302" s="11"/>
      <c r="M302" s="11"/>
      <c r="N302" s="11"/>
      <c r="O302" s="11"/>
      <c r="P302" s="11"/>
      <c r="Q302" s="11"/>
      <c r="R302" s="11"/>
      <c r="S302" s="11"/>
      <c r="T302" s="11"/>
      <c r="U302" s="11"/>
      <c r="V302" s="1058"/>
      <c r="W302" t="s" s="1035">
        <v>826</v>
      </c>
      <c r="X302" s="1040"/>
      <c r="Y302" s="949"/>
      <c r="Z302" s="11"/>
      <c r="AA302" s="11"/>
      <c r="AB302" s="11"/>
      <c r="AC302" s="11"/>
      <c r="AD302" s="11"/>
    </row>
    <row r="303" ht="13.55" customHeight="1">
      <c r="A303" s="10"/>
      <c r="B303" s="11"/>
      <c r="C303" s="11"/>
      <c r="D303" s="11"/>
      <c r="E303" s="11"/>
      <c r="F303" s="11"/>
      <c r="G303" s="11"/>
      <c r="H303" s="11"/>
      <c r="I303" s="11"/>
      <c r="J303" s="11"/>
      <c r="K303" s="11"/>
      <c r="L303" s="11"/>
      <c r="M303" s="11"/>
      <c r="N303" s="11"/>
      <c r="O303" s="11"/>
      <c r="P303" s="11"/>
      <c r="Q303" s="11"/>
      <c r="R303" s="11"/>
      <c r="S303" s="11"/>
      <c r="T303" s="11"/>
      <c r="U303" s="11"/>
      <c r="V303" s="1058"/>
      <c r="W303" t="s" s="1035">
        <v>827</v>
      </c>
      <c r="X303" s="1040"/>
      <c r="Y303" s="949"/>
      <c r="Z303" s="11"/>
      <c r="AA303" s="11"/>
      <c r="AB303" s="11"/>
      <c r="AC303" s="11"/>
      <c r="AD303" s="11"/>
    </row>
    <row r="304" ht="13.55" customHeight="1">
      <c r="A304" s="10"/>
      <c r="B304" s="11"/>
      <c r="C304" s="11"/>
      <c r="D304" s="11"/>
      <c r="E304" s="11"/>
      <c r="F304" s="11"/>
      <c r="G304" s="11"/>
      <c r="H304" s="11"/>
      <c r="I304" s="11"/>
      <c r="J304" s="11"/>
      <c r="K304" s="11"/>
      <c r="L304" s="11"/>
      <c r="M304" s="11"/>
      <c r="N304" s="11"/>
      <c r="O304" s="11"/>
      <c r="P304" s="11"/>
      <c r="Q304" s="11"/>
      <c r="R304" s="11"/>
      <c r="S304" s="11"/>
      <c r="T304" s="11"/>
      <c r="U304" s="11"/>
      <c r="V304" s="1058"/>
      <c r="W304" t="s" s="1035">
        <v>828</v>
      </c>
      <c r="X304" s="1040"/>
      <c r="Y304" s="949"/>
      <c r="Z304" s="11"/>
      <c r="AA304" s="11"/>
      <c r="AB304" s="11"/>
      <c r="AC304" s="11"/>
      <c r="AD304" s="11"/>
    </row>
    <row r="305" ht="13.55" customHeight="1">
      <c r="A305" s="10"/>
      <c r="B305" s="11"/>
      <c r="C305" s="11"/>
      <c r="D305" s="11"/>
      <c r="E305" s="11"/>
      <c r="F305" s="11"/>
      <c r="G305" s="11"/>
      <c r="H305" s="11"/>
      <c r="I305" s="11"/>
      <c r="J305" s="11"/>
      <c r="K305" s="11"/>
      <c r="L305" s="11"/>
      <c r="M305" s="11"/>
      <c r="N305" s="11"/>
      <c r="O305" s="11"/>
      <c r="P305" s="11"/>
      <c r="Q305" s="11"/>
      <c r="R305" s="11"/>
      <c r="S305" s="11"/>
      <c r="T305" s="11"/>
      <c r="U305" s="11"/>
      <c r="V305" s="1058"/>
      <c r="W305" t="s" s="1035">
        <v>829</v>
      </c>
      <c r="X305" s="1040"/>
      <c r="Y305" s="949"/>
      <c r="Z305" s="11"/>
      <c r="AA305" s="11"/>
      <c r="AB305" s="11"/>
      <c r="AC305" s="11"/>
      <c r="AD305" s="11"/>
    </row>
    <row r="306" ht="13.55" customHeight="1">
      <c r="A306" s="10"/>
      <c r="B306" s="11"/>
      <c r="C306" s="11"/>
      <c r="D306" s="11"/>
      <c r="E306" s="11"/>
      <c r="F306" s="11"/>
      <c r="G306" s="11"/>
      <c r="H306" s="11"/>
      <c r="I306" s="11"/>
      <c r="J306" s="11"/>
      <c r="K306" s="11"/>
      <c r="L306" s="11"/>
      <c r="M306" s="11"/>
      <c r="N306" s="11"/>
      <c r="O306" s="11"/>
      <c r="P306" s="11"/>
      <c r="Q306" s="11"/>
      <c r="R306" s="11"/>
      <c r="S306" s="11"/>
      <c r="T306" s="11"/>
      <c r="U306" s="11"/>
      <c r="V306" s="1058"/>
      <c r="W306" t="s" s="1035">
        <v>830</v>
      </c>
      <c r="X306" s="1040"/>
      <c r="Y306" s="949"/>
      <c r="Z306" s="11"/>
      <c r="AA306" s="11"/>
      <c r="AB306" s="11"/>
      <c r="AC306" s="11"/>
      <c r="AD306" s="11"/>
    </row>
    <row r="307" ht="13.55" customHeight="1">
      <c r="A307" s="10"/>
      <c r="B307" s="11"/>
      <c r="C307" s="11"/>
      <c r="D307" s="11"/>
      <c r="E307" s="11"/>
      <c r="F307" s="11"/>
      <c r="G307" s="11"/>
      <c r="H307" s="11"/>
      <c r="I307" s="11"/>
      <c r="J307" s="11"/>
      <c r="K307" s="11"/>
      <c r="L307" s="11"/>
      <c r="M307" s="11"/>
      <c r="N307" s="11"/>
      <c r="O307" s="11"/>
      <c r="P307" s="11"/>
      <c r="Q307" s="11"/>
      <c r="R307" s="11"/>
      <c r="S307" s="11"/>
      <c r="T307" s="11"/>
      <c r="U307" s="11"/>
      <c r="V307" s="1058"/>
      <c r="W307" t="s" s="1035">
        <v>831</v>
      </c>
      <c r="X307" s="1040"/>
      <c r="Y307" s="949"/>
      <c r="Z307" s="11"/>
      <c r="AA307" s="11"/>
      <c r="AB307" s="11"/>
      <c r="AC307" s="11"/>
      <c r="AD307" s="11"/>
    </row>
    <row r="308" ht="13.55" customHeight="1">
      <c r="A308" s="10"/>
      <c r="B308" s="11"/>
      <c r="C308" s="11"/>
      <c r="D308" s="11"/>
      <c r="E308" s="11"/>
      <c r="F308" s="11"/>
      <c r="G308" s="11"/>
      <c r="H308" s="11"/>
      <c r="I308" s="11"/>
      <c r="J308" s="11"/>
      <c r="K308" s="11"/>
      <c r="L308" s="11"/>
      <c r="M308" s="11"/>
      <c r="N308" s="11"/>
      <c r="O308" s="11"/>
      <c r="P308" s="11"/>
      <c r="Q308" s="11"/>
      <c r="R308" s="11"/>
      <c r="S308" s="11"/>
      <c r="T308" s="11"/>
      <c r="U308" s="11"/>
      <c r="V308" s="1058"/>
      <c r="W308" t="s" s="1035">
        <v>832</v>
      </c>
      <c r="X308" s="1040"/>
      <c r="Y308" s="949"/>
      <c r="Z308" s="11"/>
      <c r="AA308" s="11"/>
      <c r="AB308" s="11"/>
      <c r="AC308" s="11"/>
      <c r="AD308" s="11"/>
    </row>
    <row r="309" ht="13.55" customHeight="1">
      <c r="A309" s="10"/>
      <c r="B309" s="11"/>
      <c r="C309" s="11"/>
      <c r="D309" s="11"/>
      <c r="E309" s="11"/>
      <c r="F309" s="11"/>
      <c r="G309" s="11"/>
      <c r="H309" s="11"/>
      <c r="I309" s="11"/>
      <c r="J309" s="11"/>
      <c r="K309" s="11"/>
      <c r="L309" s="11"/>
      <c r="M309" s="11"/>
      <c r="N309" s="11"/>
      <c r="O309" s="11"/>
      <c r="P309" s="11"/>
      <c r="Q309" s="11"/>
      <c r="R309" s="11"/>
      <c r="S309" s="11"/>
      <c r="T309" s="11"/>
      <c r="U309" s="11"/>
      <c r="V309" s="1058"/>
      <c r="W309" t="s" s="1035">
        <v>833</v>
      </c>
      <c r="X309" s="1040"/>
      <c r="Y309" s="949"/>
      <c r="Z309" s="11"/>
      <c r="AA309" s="11"/>
      <c r="AB309" s="11"/>
      <c r="AC309" s="11"/>
      <c r="AD309" s="11"/>
    </row>
    <row r="310" ht="13.55" customHeight="1">
      <c r="A310" s="10"/>
      <c r="B310" s="11"/>
      <c r="C310" s="11"/>
      <c r="D310" s="11"/>
      <c r="E310" s="11"/>
      <c r="F310" s="11"/>
      <c r="G310" s="11"/>
      <c r="H310" s="11"/>
      <c r="I310" s="11"/>
      <c r="J310" s="11"/>
      <c r="K310" s="11"/>
      <c r="L310" s="11"/>
      <c r="M310" s="11"/>
      <c r="N310" s="11"/>
      <c r="O310" s="11"/>
      <c r="P310" s="11"/>
      <c r="Q310" s="11"/>
      <c r="R310" s="11"/>
      <c r="S310" s="11"/>
      <c r="T310" s="11"/>
      <c r="U310" s="11"/>
      <c r="V310" s="1058"/>
      <c r="W310" t="s" s="1035">
        <v>834</v>
      </c>
      <c r="X310" s="1040"/>
      <c r="Y310" s="949"/>
      <c r="Z310" s="11"/>
      <c r="AA310" s="11"/>
      <c r="AB310" s="11"/>
      <c r="AC310" s="11"/>
      <c r="AD310" s="11"/>
    </row>
    <row r="311" ht="13.55" customHeight="1">
      <c r="A311" s="10"/>
      <c r="B311" s="11"/>
      <c r="C311" s="11"/>
      <c r="D311" s="11"/>
      <c r="E311" s="11"/>
      <c r="F311" s="11"/>
      <c r="G311" s="11"/>
      <c r="H311" s="11"/>
      <c r="I311" s="11"/>
      <c r="J311" s="11"/>
      <c r="K311" s="11"/>
      <c r="L311" s="11"/>
      <c r="M311" s="11"/>
      <c r="N311" s="11"/>
      <c r="O311" s="11"/>
      <c r="P311" s="11"/>
      <c r="Q311" s="11"/>
      <c r="R311" s="11"/>
      <c r="S311" s="11"/>
      <c r="T311" s="11"/>
      <c r="U311" s="11"/>
      <c r="V311" s="1058"/>
      <c r="W311" t="s" s="1035">
        <v>835</v>
      </c>
      <c r="X311" s="1040"/>
      <c r="Y311" s="949"/>
      <c r="Z311" s="11"/>
      <c r="AA311" s="11"/>
      <c r="AB311" s="11"/>
      <c r="AC311" s="11"/>
      <c r="AD311" s="11"/>
    </row>
    <row r="312" ht="13.55" customHeight="1">
      <c r="A312" s="10"/>
      <c r="B312" s="11"/>
      <c r="C312" s="11"/>
      <c r="D312" s="11"/>
      <c r="E312" s="11"/>
      <c r="F312" s="11"/>
      <c r="G312" s="11"/>
      <c r="H312" s="11"/>
      <c r="I312" s="11"/>
      <c r="J312" s="11"/>
      <c r="K312" s="11"/>
      <c r="L312" s="11"/>
      <c r="M312" s="11"/>
      <c r="N312" s="11"/>
      <c r="O312" s="11"/>
      <c r="P312" s="11"/>
      <c r="Q312" s="11"/>
      <c r="R312" s="11"/>
      <c r="S312" s="11"/>
      <c r="T312" s="11"/>
      <c r="U312" s="11"/>
      <c r="V312" s="1058"/>
      <c r="W312" t="s" s="1035">
        <v>836</v>
      </c>
      <c r="X312" s="1040"/>
      <c r="Y312" s="949"/>
      <c r="Z312" s="11"/>
      <c r="AA312" s="11"/>
      <c r="AB312" s="11"/>
      <c r="AC312" s="11"/>
      <c r="AD312" s="11"/>
    </row>
    <row r="313" ht="13.55" customHeight="1">
      <c r="A313" s="10"/>
      <c r="B313" s="11"/>
      <c r="C313" s="11"/>
      <c r="D313" s="11"/>
      <c r="E313" s="11"/>
      <c r="F313" s="11"/>
      <c r="G313" s="11"/>
      <c r="H313" s="11"/>
      <c r="I313" s="11"/>
      <c r="J313" s="11"/>
      <c r="K313" s="11"/>
      <c r="L313" s="11"/>
      <c r="M313" s="11"/>
      <c r="N313" s="11"/>
      <c r="O313" s="11"/>
      <c r="P313" s="11"/>
      <c r="Q313" s="11"/>
      <c r="R313" s="11"/>
      <c r="S313" s="11"/>
      <c r="T313" s="11"/>
      <c r="U313" s="11"/>
      <c r="V313" s="1058"/>
      <c r="W313" t="s" s="1035">
        <v>837</v>
      </c>
      <c r="X313" s="1040"/>
      <c r="Y313" s="949"/>
      <c r="Z313" s="11"/>
      <c r="AA313" s="11"/>
      <c r="AB313" s="11"/>
      <c r="AC313" s="11"/>
      <c r="AD313" s="11"/>
    </row>
    <row r="314" ht="13.55" customHeight="1">
      <c r="A314" s="10"/>
      <c r="B314" s="11"/>
      <c r="C314" s="11"/>
      <c r="D314" s="11"/>
      <c r="E314" s="11"/>
      <c r="F314" s="11"/>
      <c r="G314" s="11"/>
      <c r="H314" s="11"/>
      <c r="I314" s="11"/>
      <c r="J314" s="11"/>
      <c r="K314" s="11"/>
      <c r="L314" s="11"/>
      <c r="M314" s="11"/>
      <c r="N314" s="11"/>
      <c r="O314" s="11"/>
      <c r="P314" s="11"/>
      <c r="Q314" s="11"/>
      <c r="R314" s="11"/>
      <c r="S314" s="11"/>
      <c r="T314" s="11"/>
      <c r="U314" s="11"/>
      <c r="V314" s="1058"/>
      <c r="W314" t="s" s="1035">
        <v>838</v>
      </c>
      <c r="X314" s="1040"/>
      <c r="Y314" s="949"/>
      <c r="Z314" s="11"/>
      <c r="AA314" s="11"/>
      <c r="AB314" s="11"/>
      <c r="AC314" s="11"/>
      <c r="AD314" s="11"/>
    </row>
    <row r="315" ht="13.55" customHeight="1">
      <c r="A315" s="10"/>
      <c r="B315" s="11"/>
      <c r="C315" s="11"/>
      <c r="D315" s="11"/>
      <c r="E315" s="11"/>
      <c r="F315" s="11"/>
      <c r="G315" s="11"/>
      <c r="H315" s="11"/>
      <c r="I315" s="11"/>
      <c r="J315" s="11"/>
      <c r="K315" s="11"/>
      <c r="L315" s="11"/>
      <c r="M315" s="11"/>
      <c r="N315" s="11"/>
      <c r="O315" s="11"/>
      <c r="P315" s="11"/>
      <c r="Q315" s="11"/>
      <c r="R315" s="11"/>
      <c r="S315" s="11"/>
      <c r="T315" s="11"/>
      <c r="U315" s="11"/>
      <c r="V315" s="1058"/>
      <c r="W315" t="s" s="1035">
        <v>839</v>
      </c>
      <c r="X315" s="1040"/>
      <c r="Y315" s="949"/>
      <c r="Z315" s="11"/>
      <c r="AA315" s="11"/>
      <c r="AB315" s="11"/>
      <c r="AC315" s="11"/>
      <c r="AD315" s="11"/>
    </row>
    <row r="316" ht="13.55" customHeight="1">
      <c r="A316" s="10"/>
      <c r="B316" s="11"/>
      <c r="C316" s="11"/>
      <c r="D316" s="11"/>
      <c r="E316" s="11"/>
      <c r="F316" s="11"/>
      <c r="G316" s="11"/>
      <c r="H316" s="11"/>
      <c r="I316" s="11"/>
      <c r="J316" s="11"/>
      <c r="K316" s="11"/>
      <c r="L316" s="11"/>
      <c r="M316" s="11"/>
      <c r="N316" s="11"/>
      <c r="O316" s="11"/>
      <c r="P316" s="11"/>
      <c r="Q316" s="11"/>
      <c r="R316" s="11"/>
      <c r="S316" s="11"/>
      <c r="T316" s="11"/>
      <c r="U316" s="11"/>
      <c r="V316" s="1058"/>
      <c r="W316" t="s" s="1035">
        <v>840</v>
      </c>
      <c r="X316" s="1040"/>
      <c r="Y316" s="949"/>
      <c r="Z316" s="11"/>
      <c r="AA316" s="11"/>
      <c r="AB316" s="11"/>
      <c r="AC316" s="11"/>
      <c r="AD316" s="11"/>
    </row>
    <row r="317" ht="13.55" customHeight="1">
      <c r="A317" s="10"/>
      <c r="B317" s="11"/>
      <c r="C317" s="11"/>
      <c r="D317" s="11"/>
      <c r="E317" s="11"/>
      <c r="F317" s="11"/>
      <c r="G317" s="11"/>
      <c r="H317" s="11"/>
      <c r="I317" s="11"/>
      <c r="J317" s="11"/>
      <c r="K317" s="11"/>
      <c r="L317" s="11"/>
      <c r="M317" s="11"/>
      <c r="N317" s="11"/>
      <c r="O317" s="11"/>
      <c r="P317" s="11"/>
      <c r="Q317" s="11"/>
      <c r="R317" s="11"/>
      <c r="S317" s="11"/>
      <c r="T317" s="11"/>
      <c r="U317" s="11"/>
      <c r="V317" s="1058"/>
      <c r="W317" t="s" s="1035">
        <v>841</v>
      </c>
      <c r="X317" s="1040"/>
      <c r="Y317" s="949"/>
      <c r="Z317" s="11"/>
      <c r="AA317" s="11"/>
      <c r="AB317" s="11"/>
      <c r="AC317" s="11"/>
      <c r="AD317" s="11"/>
    </row>
    <row r="318" ht="13.55" customHeight="1">
      <c r="A318" s="10"/>
      <c r="B318" s="11"/>
      <c r="C318" s="11"/>
      <c r="D318" s="11"/>
      <c r="E318" s="11"/>
      <c r="F318" s="11"/>
      <c r="G318" s="11"/>
      <c r="H318" s="11"/>
      <c r="I318" s="11"/>
      <c r="J318" s="11"/>
      <c r="K318" s="11"/>
      <c r="L318" s="11"/>
      <c r="M318" s="11"/>
      <c r="N318" s="11"/>
      <c r="O318" s="11"/>
      <c r="P318" s="11"/>
      <c r="Q318" s="11"/>
      <c r="R318" s="11"/>
      <c r="S318" s="11"/>
      <c r="T318" s="11"/>
      <c r="U318" s="11"/>
      <c r="V318" s="1058"/>
      <c r="W318" t="s" s="1035">
        <v>842</v>
      </c>
      <c r="X318" s="1040"/>
      <c r="Y318" s="949"/>
      <c r="Z318" s="11"/>
      <c r="AA318" s="11"/>
      <c r="AB318" s="11"/>
      <c r="AC318" s="11"/>
      <c r="AD318" s="11"/>
    </row>
    <row r="319" ht="13.55" customHeight="1">
      <c r="A319" s="10"/>
      <c r="B319" s="11"/>
      <c r="C319" s="11"/>
      <c r="D319" s="11"/>
      <c r="E319" s="11"/>
      <c r="F319" s="11"/>
      <c r="G319" s="11"/>
      <c r="H319" s="11"/>
      <c r="I319" s="11"/>
      <c r="J319" s="11"/>
      <c r="K319" s="11"/>
      <c r="L319" s="11"/>
      <c r="M319" s="11"/>
      <c r="N319" s="11"/>
      <c r="O319" s="11"/>
      <c r="P319" s="11"/>
      <c r="Q319" s="11"/>
      <c r="R319" s="11"/>
      <c r="S319" s="11"/>
      <c r="T319" s="11"/>
      <c r="U319" s="11"/>
      <c r="V319" s="1058"/>
      <c r="W319" t="s" s="1035">
        <v>843</v>
      </c>
      <c r="X319" s="1040"/>
      <c r="Y319" s="949"/>
      <c r="Z319" s="11"/>
      <c r="AA319" s="11"/>
      <c r="AB319" s="11"/>
      <c r="AC319" s="11"/>
      <c r="AD319" s="11"/>
    </row>
    <row r="320" ht="13.55" customHeight="1">
      <c r="A320" s="10"/>
      <c r="B320" s="11"/>
      <c r="C320" s="11"/>
      <c r="D320" s="11"/>
      <c r="E320" s="11"/>
      <c r="F320" s="11"/>
      <c r="G320" s="11"/>
      <c r="H320" s="11"/>
      <c r="I320" s="11"/>
      <c r="J320" s="11"/>
      <c r="K320" s="11"/>
      <c r="L320" s="11"/>
      <c r="M320" s="11"/>
      <c r="N320" s="11"/>
      <c r="O320" s="11"/>
      <c r="P320" s="11"/>
      <c r="Q320" s="11"/>
      <c r="R320" s="11"/>
      <c r="S320" s="11"/>
      <c r="T320" s="11"/>
      <c r="U320" s="11"/>
      <c r="V320" s="1058"/>
      <c r="W320" t="s" s="1035">
        <v>844</v>
      </c>
      <c r="X320" s="1040"/>
      <c r="Y320" s="949"/>
      <c r="Z320" s="11"/>
      <c r="AA320" s="11"/>
      <c r="AB320" s="11"/>
      <c r="AC320" s="11"/>
      <c r="AD320" s="11"/>
    </row>
    <row r="321" ht="13.55" customHeight="1">
      <c r="A321" s="10"/>
      <c r="B321" s="11"/>
      <c r="C321" s="11"/>
      <c r="D321" s="11"/>
      <c r="E321" s="11"/>
      <c r="F321" s="11"/>
      <c r="G321" s="11"/>
      <c r="H321" s="11"/>
      <c r="I321" s="11"/>
      <c r="J321" s="11"/>
      <c r="K321" s="11"/>
      <c r="L321" s="11"/>
      <c r="M321" s="11"/>
      <c r="N321" s="11"/>
      <c r="O321" s="11"/>
      <c r="P321" s="11"/>
      <c r="Q321" s="11"/>
      <c r="R321" s="11"/>
      <c r="S321" s="11"/>
      <c r="T321" s="11"/>
      <c r="U321" s="11"/>
      <c r="V321" s="1058"/>
      <c r="W321" t="s" s="1035">
        <v>845</v>
      </c>
      <c r="X321" s="1040"/>
      <c r="Y321" s="949"/>
      <c r="Z321" s="11"/>
      <c r="AA321" s="11"/>
      <c r="AB321" s="11"/>
      <c r="AC321" s="11"/>
      <c r="AD321" s="11"/>
    </row>
    <row r="322" ht="13.55" customHeight="1">
      <c r="A322" s="10"/>
      <c r="B322" s="11"/>
      <c r="C322" s="11"/>
      <c r="D322" s="11"/>
      <c r="E322" s="11"/>
      <c r="F322" s="11"/>
      <c r="G322" s="11"/>
      <c r="H322" s="11"/>
      <c r="I322" s="11"/>
      <c r="J322" s="11"/>
      <c r="K322" s="11"/>
      <c r="L322" s="11"/>
      <c r="M322" s="11"/>
      <c r="N322" s="11"/>
      <c r="O322" s="11"/>
      <c r="P322" s="11"/>
      <c r="Q322" s="11"/>
      <c r="R322" s="11"/>
      <c r="S322" s="11"/>
      <c r="T322" s="11"/>
      <c r="U322" s="11"/>
      <c r="V322" s="1058"/>
      <c r="W322" t="s" s="1035">
        <v>846</v>
      </c>
      <c r="X322" s="1040"/>
      <c r="Y322" s="949"/>
      <c r="Z322" s="11"/>
      <c r="AA322" s="11"/>
      <c r="AB322" s="11"/>
      <c r="AC322" s="11"/>
      <c r="AD322" s="11"/>
    </row>
    <row r="323" ht="13.55" customHeight="1">
      <c r="A323" s="10"/>
      <c r="B323" s="11"/>
      <c r="C323" s="11"/>
      <c r="D323" s="11"/>
      <c r="E323" s="11"/>
      <c r="F323" s="11"/>
      <c r="G323" s="11"/>
      <c r="H323" s="11"/>
      <c r="I323" s="11"/>
      <c r="J323" s="11"/>
      <c r="K323" s="11"/>
      <c r="L323" s="11"/>
      <c r="M323" s="11"/>
      <c r="N323" s="11"/>
      <c r="O323" s="11"/>
      <c r="P323" s="11"/>
      <c r="Q323" s="11"/>
      <c r="R323" s="11"/>
      <c r="S323" s="11"/>
      <c r="T323" s="11"/>
      <c r="U323" s="11"/>
      <c r="V323" s="1058"/>
      <c r="W323" t="s" s="1035">
        <v>847</v>
      </c>
      <c r="X323" s="1040"/>
      <c r="Y323" s="949"/>
      <c r="Z323" s="11"/>
      <c r="AA323" s="11"/>
      <c r="AB323" s="11"/>
      <c r="AC323" s="11"/>
      <c r="AD323" s="11"/>
    </row>
    <row r="324" ht="13.55" customHeight="1">
      <c r="A324" s="10"/>
      <c r="B324" s="11"/>
      <c r="C324" s="11"/>
      <c r="D324" s="11"/>
      <c r="E324" s="11"/>
      <c r="F324" s="11"/>
      <c r="G324" s="11"/>
      <c r="H324" s="11"/>
      <c r="I324" s="11"/>
      <c r="J324" s="11"/>
      <c r="K324" s="11"/>
      <c r="L324" s="11"/>
      <c r="M324" s="11"/>
      <c r="N324" s="11"/>
      <c r="O324" s="11"/>
      <c r="P324" s="11"/>
      <c r="Q324" s="11"/>
      <c r="R324" s="11"/>
      <c r="S324" s="11"/>
      <c r="T324" s="11"/>
      <c r="U324" s="11"/>
      <c r="V324" s="1058"/>
      <c r="W324" t="s" s="1035">
        <v>848</v>
      </c>
      <c r="X324" s="1040"/>
      <c r="Y324" s="949"/>
      <c r="Z324" s="11"/>
      <c r="AA324" s="11"/>
      <c r="AB324" s="11"/>
      <c r="AC324" s="11"/>
      <c r="AD324" s="11"/>
    </row>
    <row r="325" ht="13.55" customHeight="1">
      <c r="A325" s="10"/>
      <c r="B325" s="11"/>
      <c r="C325" s="11"/>
      <c r="D325" s="11"/>
      <c r="E325" s="11"/>
      <c r="F325" s="11"/>
      <c r="G325" s="11"/>
      <c r="H325" s="11"/>
      <c r="I325" s="11"/>
      <c r="J325" s="11"/>
      <c r="K325" s="11"/>
      <c r="L325" s="11"/>
      <c r="M325" s="11"/>
      <c r="N325" s="11"/>
      <c r="O325" s="11"/>
      <c r="P325" s="11"/>
      <c r="Q325" s="11"/>
      <c r="R325" s="11"/>
      <c r="S325" s="11"/>
      <c r="T325" s="11"/>
      <c r="U325" s="11"/>
      <c r="V325" s="1058"/>
      <c r="W325" t="s" s="1035">
        <v>849</v>
      </c>
      <c r="X325" s="1040"/>
      <c r="Y325" s="949"/>
      <c r="Z325" s="11"/>
      <c r="AA325" s="11"/>
      <c r="AB325" s="11"/>
      <c r="AC325" s="11"/>
      <c r="AD325" s="11"/>
    </row>
    <row r="326" ht="13.55" customHeight="1">
      <c r="A326" s="10"/>
      <c r="B326" s="11"/>
      <c r="C326" s="11"/>
      <c r="D326" s="11"/>
      <c r="E326" s="11"/>
      <c r="F326" s="11"/>
      <c r="G326" s="11"/>
      <c r="H326" s="11"/>
      <c r="I326" s="11"/>
      <c r="J326" s="11"/>
      <c r="K326" s="11"/>
      <c r="L326" s="11"/>
      <c r="M326" s="11"/>
      <c r="N326" s="11"/>
      <c r="O326" s="11"/>
      <c r="P326" s="11"/>
      <c r="Q326" s="11"/>
      <c r="R326" s="11"/>
      <c r="S326" s="11"/>
      <c r="T326" s="11"/>
      <c r="U326" s="11"/>
      <c r="V326" s="1058"/>
      <c r="W326" t="s" s="1035">
        <v>850</v>
      </c>
      <c r="X326" s="1040"/>
      <c r="Y326" s="949"/>
      <c r="Z326" s="11"/>
      <c r="AA326" s="11"/>
      <c r="AB326" s="11"/>
      <c r="AC326" s="11"/>
      <c r="AD326" s="11"/>
    </row>
    <row r="327" ht="13.55" customHeight="1">
      <c r="A327" s="10"/>
      <c r="B327" s="11"/>
      <c r="C327" s="11"/>
      <c r="D327" s="11"/>
      <c r="E327" s="11"/>
      <c r="F327" s="11"/>
      <c r="G327" s="11"/>
      <c r="H327" s="11"/>
      <c r="I327" s="11"/>
      <c r="J327" s="11"/>
      <c r="K327" s="11"/>
      <c r="L327" s="11"/>
      <c r="M327" s="11"/>
      <c r="N327" s="11"/>
      <c r="O327" s="11"/>
      <c r="P327" s="11"/>
      <c r="Q327" s="11"/>
      <c r="R327" s="11"/>
      <c r="S327" s="11"/>
      <c r="T327" s="11"/>
      <c r="U327" s="11"/>
      <c r="V327" s="1058"/>
      <c r="W327" t="s" s="1035">
        <v>851</v>
      </c>
      <c r="X327" s="1040"/>
      <c r="Y327" s="949"/>
      <c r="Z327" s="11"/>
      <c r="AA327" s="11"/>
      <c r="AB327" s="11"/>
      <c r="AC327" s="11"/>
      <c r="AD327" s="11"/>
    </row>
    <row r="328" ht="13.55" customHeight="1">
      <c r="A328" s="10"/>
      <c r="B328" s="11"/>
      <c r="C328" s="11"/>
      <c r="D328" s="11"/>
      <c r="E328" s="11"/>
      <c r="F328" s="11"/>
      <c r="G328" s="11"/>
      <c r="H328" s="11"/>
      <c r="I328" s="11"/>
      <c r="J328" s="11"/>
      <c r="K328" s="11"/>
      <c r="L328" s="11"/>
      <c r="M328" s="11"/>
      <c r="N328" s="11"/>
      <c r="O328" s="11"/>
      <c r="P328" s="11"/>
      <c r="Q328" s="11"/>
      <c r="R328" s="11"/>
      <c r="S328" s="11"/>
      <c r="T328" s="11"/>
      <c r="U328" s="11"/>
      <c r="V328" s="1058"/>
      <c r="W328" t="s" s="1035">
        <v>852</v>
      </c>
      <c r="X328" s="1040"/>
      <c r="Y328" s="949"/>
      <c r="Z328" s="11"/>
      <c r="AA328" s="11"/>
      <c r="AB328" s="11"/>
      <c r="AC328" s="11"/>
      <c r="AD328" s="11"/>
    </row>
    <row r="329" ht="13.55" customHeight="1">
      <c r="A329" s="10"/>
      <c r="B329" s="11"/>
      <c r="C329" s="11"/>
      <c r="D329" s="11"/>
      <c r="E329" s="11"/>
      <c r="F329" s="11"/>
      <c r="G329" s="11"/>
      <c r="H329" s="11"/>
      <c r="I329" s="11"/>
      <c r="J329" s="11"/>
      <c r="K329" s="11"/>
      <c r="L329" s="11"/>
      <c r="M329" s="11"/>
      <c r="N329" s="11"/>
      <c r="O329" s="11"/>
      <c r="P329" s="11"/>
      <c r="Q329" s="11"/>
      <c r="R329" s="11"/>
      <c r="S329" s="11"/>
      <c r="T329" s="11"/>
      <c r="U329" s="11"/>
      <c r="V329" s="1058"/>
      <c r="W329" t="s" s="1035">
        <v>853</v>
      </c>
      <c r="X329" s="1040"/>
      <c r="Y329" s="949"/>
      <c r="Z329" s="11"/>
      <c r="AA329" s="11"/>
      <c r="AB329" s="11"/>
      <c r="AC329" s="11"/>
      <c r="AD329" s="11"/>
    </row>
    <row r="330" ht="13.55" customHeight="1">
      <c r="A330" s="10"/>
      <c r="B330" s="11"/>
      <c r="C330" s="11"/>
      <c r="D330" s="11"/>
      <c r="E330" s="11"/>
      <c r="F330" s="11"/>
      <c r="G330" s="11"/>
      <c r="H330" s="11"/>
      <c r="I330" s="11"/>
      <c r="J330" s="11"/>
      <c r="K330" s="11"/>
      <c r="L330" s="11"/>
      <c r="M330" s="11"/>
      <c r="N330" s="11"/>
      <c r="O330" s="11"/>
      <c r="P330" s="11"/>
      <c r="Q330" s="11"/>
      <c r="R330" s="11"/>
      <c r="S330" s="11"/>
      <c r="T330" s="11"/>
      <c r="U330" s="11"/>
      <c r="V330" s="1058"/>
      <c r="W330" t="s" s="1035">
        <v>854</v>
      </c>
      <c r="X330" s="1040"/>
      <c r="Y330" s="949"/>
      <c r="Z330" s="11"/>
      <c r="AA330" s="11"/>
      <c r="AB330" s="11"/>
      <c r="AC330" s="11"/>
      <c r="AD330" s="11"/>
    </row>
    <row r="331" ht="13.55" customHeight="1">
      <c r="A331" s="10"/>
      <c r="B331" s="11"/>
      <c r="C331" s="11"/>
      <c r="D331" s="11"/>
      <c r="E331" s="11"/>
      <c r="F331" s="11"/>
      <c r="G331" s="11"/>
      <c r="H331" s="11"/>
      <c r="I331" s="11"/>
      <c r="J331" s="11"/>
      <c r="K331" s="11"/>
      <c r="L331" s="11"/>
      <c r="M331" s="11"/>
      <c r="N331" s="11"/>
      <c r="O331" s="11"/>
      <c r="P331" s="11"/>
      <c r="Q331" s="11"/>
      <c r="R331" s="11"/>
      <c r="S331" s="11"/>
      <c r="T331" s="11"/>
      <c r="U331" s="11"/>
      <c r="V331" s="1058"/>
      <c r="W331" t="s" s="1035">
        <v>855</v>
      </c>
      <c r="X331" s="1040"/>
      <c r="Y331" s="949"/>
      <c r="Z331" s="11"/>
      <c r="AA331" s="11"/>
      <c r="AB331" s="11"/>
      <c r="AC331" s="11"/>
      <c r="AD331" s="11"/>
    </row>
    <row r="332" ht="13.55" customHeight="1">
      <c r="A332" s="10"/>
      <c r="B332" s="11"/>
      <c r="C332" s="11"/>
      <c r="D332" s="11"/>
      <c r="E332" s="11"/>
      <c r="F332" s="11"/>
      <c r="G332" s="11"/>
      <c r="H332" s="11"/>
      <c r="I332" s="11"/>
      <c r="J332" s="11"/>
      <c r="K332" s="11"/>
      <c r="L332" s="11"/>
      <c r="M332" s="11"/>
      <c r="N332" s="11"/>
      <c r="O332" s="11"/>
      <c r="P332" s="11"/>
      <c r="Q332" s="11"/>
      <c r="R332" s="11"/>
      <c r="S332" s="11"/>
      <c r="T332" s="11"/>
      <c r="U332" s="11"/>
      <c r="V332" s="1058"/>
      <c r="W332" t="s" s="1035">
        <v>856</v>
      </c>
      <c r="X332" s="1040"/>
      <c r="Y332" s="949"/>
      <c r="Z332" s="11"/>
      <c r="AA332" s="11"/>
      <c r="AB332" s="11"/>
      <c r="AC332" s="11"/>
      <c r="AD332" s="11"/>
    </row>
    <row r="333" ht="13.55" customHeight="1">
      <c r="A333" s="10"/>
      <c r="B333" s="11"/>
      <c r="C333" s="11"/>
      <c r="D333" s="11"/>
      <c r="E333" s="11"/>
      <c r="F333" s="11"/>
      <c r="G333" s="11"/>
      <c r="H333" s="11"/>
      <c r="I333" s="11"/>
      <c r="J333" s="11"/>
      <c r="K333" s="11"/>
      <c r="L333" s="11"/>
      <c r="M333" s="11"/>
      <c r="N333" s="11"/>
      <c r="O333" s="11"/>
      <c r="P333" s="11"/>
      <c r="Q333" s="11"/>
      <c r="R333" s="11"/>
      <c r="S333" s="11"/>
      <c r="T333" s="11"/>
      <c r="U333" s="11"/>
      <c r="V333" s="1058"/>
      <c r="W333" t="s" s="1035">
        <v>857</v>
      </c>
      <c r="X333" s="1040"/>
      <c r="Y333" s="949"/>
      <c r="Z333" s="11"/>
      <c r="AA333" s="11"/>
      <c r="AB333" s="11"/>
      <c r="AC333" s="11"/>
      <c r="AD333" s="11"/>
    </row>
    <row r="334" ht="13.55" customHeight="1">
      <c r="A334" s="10"/>
      <c r="B334" s="11"/>
      <c r="C334" s="11"/>
      <c r="D334" s="11"/>
      <c r="E334" s="11"/>
      <c r="F334" s="11"/>
      <c r="G334" s="11"/>
      <c r="H334" s="11"/>
      <c r="I334" s="11"/>
      <c r="J334" s="11"/>
      <c r="K334" s="11"/>
      <c r="L334" s="11"/>
      <c r="M334" s="11"/>
      <c r="N334" s="11"/>
      <c r="O334" s="11"/>
      <c r="P334" s="11"/>
      <c r="Q334" s="11"/>
      <c r="R334" s="11"/>
      <c r="S334" s="11"/>
      <c r="T334" s="11"/>
      <c r="U334" s="11"/>
      <c r="V334" s="1058"/>
      <c r="W334" t="s" s="1035">
        <v>858</v>
      </c>
      <c r="X334" s="1040"/>
      <c r="Y334" s="949"/>
      <c r="Z334" s="11"/>
      <c r="AA334" s="11"/>
      <c r="AB334" s="11"/>
      <c r="AC334" s="11"/>
      <c r="AD334" s="11"/>
    </row>
    <row r="335" ht="13.55" customHeight="1">
      <c r="A335" s="10"/>
      <c r="B335" s="11"/>
      <c r="C335" s="11"/>
      <c r="D335" s="11"/>
      <c r="E335" s="11"/>
      <c r="F335" s="11"/>
      <c r="G335" s="11"/>
      <c r="H335" s="11"/>
      <c r="I335" s="11"/>
      <c r="J335" s="11"/>
      <c r="K335" s="11"/>
      <c r="L335" s="11"/>
      <c r="M335" s="11"/>
      <c r="N335" s="11"/>
      <c r="O335" s="11"/>
      <c r="P335" s="11"/>
      <c r="Q335" s="11"/>
      <c r="R335" s="11"/>
      <c r="S335" s="11"/>
      <c r="T335" s="11"/>
      <c r="U335" s="11"/>
      <c r="V335" s="1058"/>
      <c r="W335" t="s" s="1035">
        <v>859</v>
      </c>
      <c r="X335" s="1040"/>
      <c r="Y335" s="949"/>
      <c r="Z335" s="11"/>
      <c r="AA335" s="11"/>
      <c r="AB335" s="11"/>
      <c r="AC335" s="11"/>
      <c r="AD335" s="11"/>
    </row>
    <row r="336" ht="13.55" customHeight="1">
      <c r="A336" s="10"/>
      <c r="B336" s="11"/>
      <c r="C336" s="11"/>
      <c r="D336" s="11"/>
      <c r="E336" s="11"/>
      <c r="F336" s="11"/>
      <c r="G336" s="11"/>
      <c r="H336" s="11"/>
      <c r="I336" s="11"/>
      <c r="J336" s="11"/>
      <c r="K336" s="11"/>
      <c r="L336" s="11"/>
      <c r="M336" s="11"/>
      <c r="N336" s="11"/>
      <c r="O336" s="11"/>
      <c r="P336" s="11"/>
      <c r="Q336" s="11"/>
      <c r="R336" s="11"/>
      <c r="S336" s="11"/>
      <c r="T336" s="11"/>
      <c r="U336" s="11"/>
      <c r="V336" s="1058"/>
      <c r="W336" t="s" s="1035">
        <v>860</v>
      </c>
      <c r="X336" s="1040"/>
      <c r="Y336" s="949"/>
      <c r="Z336" s="11"/>
      <c r="AA336" s="11"/>
      <c r="AB336" s="11"/>
      <c r="AC336" s="11"/>
      <c r="AD336" s="11"/>
    </row>
    <row r="337" ht="13.55" customHeight="1">
      <c r="A337" s="10"/>
      <c r="B337" s="11"/>
      <c r="C337" s="11"/>
      <c r="D337" s="11"/>
      <c r="E337" s="11"/>
      <c r="F337" s="11"/>
      <c r="G337" s="11"/>
      <c r="H337" s="11"/>
      <c r="I337" s="11"/>
      <c r="J337" s="11"/>
      <c r="K337" s="11"/>
      <c r="L337" s="11"/>
      <c r="M337" s="11"/>
      <c r="N337" s="11"/>
      <c r="O337" s="11"/>
      <c r="P337" s="11"/>
      <c r="Q337" s="11"/>
      <c r="R337" s="11"/>
      <c r="S337" s="11"/>
      <c r="T337" s="11"/>
      <c r="U337" s="11"/>
      <c r="V337" s="1058"/>
      <c r="W337" t="s" s="1035">
        <v>861</v>
      </c>
      <c r="X337" s="1040"/>
      <c r="Y337" s="949"/>
      <c r="Z337" s="11"/>
      <c r="AA337" s="11"/>
      <c r="AB337" s="11"/>
      <c r="AC337" s="11"/>
      <c r="AD337" s="11"/>
    </row>
    <row r="338" ht="13.55" customHeight="1">
      <c r="A338" s="10"/>
      <c r="B338" s="11"/>
      <c r="C338" s="11"/>
      <c r="D338" s="11"/>
      <c r="E338" s="11"/>
      <c r="F338" s="11"/>
      <c r="G338" s="11"/>
      <c r="H338" s="11"/>
      <c r="I338" s="11"/>
      <c r="J338" s="11"/>
      <c r="K338" s="11"/>
      <c r="L338" s="11"/>
      <c r="M338" s="11"/>
      <c r="N338" s="11"/>
      <c r="O338" s="11"/>
      <c r="P338" s="11"/>
      <c r="Q338" s="11"/>
      <c r="R338" s="11"/>
      <c r="S338" s="11"/>
      <c r="T338" s="11"/>
      <c r="U338" s="11"/>
      <c r="V338" s="1058"/>
      <c r="W338" t="s" s="1035">
        <v>862</v>
      </c>
      <c r="X338" s="1040"/>
      <c r="Y338" s="949"/>
      <c r="Z338" s="11"/>
      <c r="AA338" s="11"/>
      <c r="AB338" s="11"/>
      <c r="AC338" s="11"/>
      <c r="AD338" s="11"/>
    </row>
    <row r="339" ht="13.55" customHeight="1">
      <c r="A339" s="10"/>
      <c r="B339" s="11"/>
      <c r="C339" s="11"/>
      <c r="D339" s="11"/>
      <c r="E339" s="11"/>
      <c r="F339" s="11"/>
      <c r="G339" s="11"/>
      <c r="H339" s="11"/>
      <c r="I339" s="11"/>
      <c r="J339" s="11"/>
      <c r="K339" s="11"/>
      <c r="L339" s="11"/>
      <c r="M339" s="11"/>
      <c r="N339" s="11"/>
      <c r="O339" s="11"/>
      <c r="P339" s="11"/>
      <c r="Q339" s="11"/>
      <c r="R339" s="11"/>
      <c r="S339" s="11"/>
      <c r="T339" s="11"/>
      <c r="U339" s="11"/>
      <c r="V339" s="1058"/>
      <c r="W339" t="s" s="1035">
        <v>863</v>
      </c>
      <c r="X339" s="1040"/>
      <c r="Y339" s="949"/>
      <c r="Z339" s="11"/>
      <c r="AA339" s="11"/>
      <c r="AB339" s="11"/>
      <c r="AC339" s="11"/>
      <c r="AD339" s="11"/>
    </row>
    <row r="340" ht="13.55" customHeight="1">
      <c r="A340" s="10"/>
      <c r="B340" s="11"/>
      <c r="C340" s="11"/>
      <c r="D340" s="11"/>
      <c r="E340" s="11"/>
      <c r="F340" s="11"/>
      <c r="G340" s="11"/>
      <c r="H340" s="11"/>
      <c r="I340" s="11"/>
      <c r="J340" s="11"/>
      <c r="K340" s="11"/>
      <c r="L340" s="11"/>
      <c r="M340" s="11"/>
      <c r="N340" s="11"/>
      <c r="O340" s="11"/>
      <c r="P340" s="11"/>
      <c r="Q340" s="11"/>
      <c r="R340" s="11"/>
      <c r="S340" s="11"/>
      <c r="T340" s="11"/>
      <c r="U340" s="11"/>
      <c r="V340" s="1058"/>
      <c r="W340" t="s" s="1035">
        <v>864</v>
      </c>
      <c r="X340" s="1040"/>
      <c r="Y340" s="949"/>
      <c r="Z340" s="11"/>
      <c r="AA340" s="11"/>
      <c r="AB340" s="11"/>
      <c r="AC340" s="11"/>
      <c r="AD340" s="11"/>
    </row>
    <row r="341" ht="13.55" customHeight="1">
      <c r="A341" s="10"/>
      <c r="B341" s="11"/>
      <c r="C341" s="11"/>
      <c r="D341" s="11"/>
      <c r="E341" s="11"/>
      <c r="F341" s="11"/>
      <c r="G341" s="11"/>
      <c r="H341" s="11"/>
      <c r="I341" s="11"/>
      <c r="J341" s="11"/>
      <c r="K341" s="11"/>
      <c r="L341" s="11"/>
      <c r="M341" s="11"/>
      <c r="N341" s="11"/>
      <c r="O341" s="11"/>
      <c r="P341" s="11"/>
      <c r="Q341" s="11"/>
      <c r="R341" s="11"/>
      <c r="S341" s="11"/>
      <c r="T341" s="11"/>
      <c r="U341" s="11"/>
      <c r="V341" s="1058"/>
      <c r="W341" t="s" s="1035">
        <v>865</v>
      </c>
      <c r="X341" s="1040"/>
      <c r="Y341" s="949"/>
      <c r="Z341" s="11"/>
      <c r="AA341" s="11"/>
      <c r="AB341" s="11"/>
      <c r="AC341" s="11"/>
      <c r="AD341" s="11"/>
    </row>
    <row r="342" ht="13.55" customHeight="1">
      <c r="A342" s="10"/>
      <c r="B342" s="11"/>
      <c r="C342" s="11"/>
      <c r="D342" s="11"/>
      <c r="E342" s="11"/>
      <c r="F342" s="11"/>
      <c r="G342" s="11"/>
      <c r="H342" s="11"/>
      <c r="I342" s="11"/>
      <c r="J342" s="11"/>
      <c r="K342" s="11"/>
      <c r="L342" s="11"/>
      <c r="M342" s="11"/>
      <c r="N342" s="11"/>
      <c r="O342" s="11"/>
      <c r="P342" s="11"/>
      <c r="Q342" s="11"/>
      <c r="R342" s="11"/>
      <c r="S342" s="11"/>
      <c r="T342" s="11"/>
      <c r="U342" s="11"/>
      <c r="V342" s="1058"/>
      <c r="W342" t="s" s="1035">
        <v>866</v>
      </c>
      <c r="X342" s="1040"/>
      <c r="Y342" s="949"/>
      <c r="Z342" s="11"/>
      <c r="AA342" s="11"/>
      <c r="AB342" s="11"/>
      <c r="AC342" s="11"/>
      <c r="AD342" s="11"/>
    </row>
    <row r="343" ht="13.55" customHeight="1">
      <c r="A343" s="10"/>
      <c r="B343" s="11"/>
      <c r="C343" s="11"/>
      <c r="D343" s="11"/>
      <c r="E343" s="11"/>
      <c r="F343" s="11"/>
      <c r="G343" s="11"/>
      <c r="H343" s="11"/>
      <c r="I343" s="11"/>
      <c r="J343" s="11"/>
      <c r="K343" s="11"/>
      <c r="L343" s="11"/>
      <c r="M343" s="11"/>
      <c r="N343" s="11"/>
      <c r="O343" s="11"/>
      <c r="P343" s="11"/>
      <c r="Q343" s="11"/>
      <c r="R343" s="11"/>
      <c r="S343" s="11"/>
      <c r="T343" s="11"/>
      <c r="U343" s="11"/>
      <c r="V343" s="1058"/>
      <c r="W343" t="s" s="1035">
        <v>867</v>
      </c>
      <c r="X343" s="1040"/>
      <c r="Y343" s="949"/>
      <c r="Z343" s="11"/>
      <c r="AA343" s="11"/>
      <c r="AB343" s="11"/>
      <c r="AC343" s="11"/>
      <c r="AD343" s="11"/>
    </row>
    <row r="344" ht="13.55" customHeight="1">
      <c r="A344" s="10"/>
      <c r="B344" s="11"/>
      <c r="C344" s="11"/>
      <c r="D344" s="11"/>
      <c r="E344" s="11"/>
      <c r="F344" s="11"/>
      <c r="G344" s="11"/>
      <c r="H344" s="11"/>
      <c r="I344" s="11"/>
      <c r="J344" s="11"/>
      <c r="K344" s="11"/>
      <c r="L344" s="11"/>
      <c r="M344" s="11"/>
      <c r="N344" s="11"/>
      <c r="O344" s="11"/>
      <c r="P344" s="11"/>
      <c r="Q344" s="11"/>
      <c r="R344" s="11"/>
      <c r="S344" s="11"/>
      <c r="T344" s="11"/>
      <c r="U344" s="11"/>
      <c r="V344" s="1058"/>
      <c r="W344" t="s" s="1035">
        <v>868</v>
      </c>
      <c r="X344" s="1040"/>
      <c r="Y344" s="949"/>
      <c r="Z344" s="11"/>
      <c r="AA344" s="11"/>
      <c r="AB344" s="11"/>
      <c r="AC344" s="11"/>
      <c r="AD344" s="11"/>
    </row>
    <row r="345" ht="13.55" customHeight="1">
      <c r="A345" s="10"/>
      <c r="B345" s="11"/>
      <c r="C345" s="11"/>
      <c r="D345" s="11"/>
      <c r="E345" s="11"/>
      <c r="F345" s="11"/>
      <c r="G345" s="11"/>
      <c r="H345" s="11"/>
      <c r="I345" s="11"/>
      <c r="J345" s="11"/>
      <c r="K345" s="11"/>
      <c r="L345" s="11"/>
      <c r="M345" s="11"/>
      <c r="N345" s="11"/>
      <c r="O345" s="11"/>
      <c r="P345" s="11"/>
      <c r="Q345" s="11"/>
      <c r="R345" s="11"/>
      <c r="S345" s="11"/>
      <c r="T345" s="11"/>
      <c r="U345" s="11"/>
      <c r="V345" s="1058"/>
      <c r="W345" t="s" s="1035">
        <v>869</v>
      </c>
      <c r="X345" s="1040"/>
      <c r="Y345" s="949"/>
      <c r="Z345" s="11"/>
      <c r="AA345" s="11"/>
      <c r="AB345" s="11"/>
      <c r="AC345" s="11"/>
      <c r="AD345" s="11"/>
    </row>
    <row r="346" ht="13.55" customHeight="1">
      <c r="A346" s="10"/>
      <c r="B346" s="11"/>
      <c r="C346" s="11"/>
      <c r="D346" s="11"/>
      <c r="E346" s="11"/>
      <c r="F346" s="11"/>
      <c r="G346" s="11"/>
      <c r="H346" s="11"/>
      <c r="I346" s="11"/>
      <c r="J346" s="11"/>
      <c r="K346" s="11"/>
      <c r="L346" s="11"/>
      <c r="M346" s="11"/>
      <c r="N346" s="11"/>
      <c r="O346" s="11"/>
      <c r="P346" s="11"/>
      <c r="Q346" s="11"/>
      <c r="R346" s="11"/>
      <c r="S346" s="11"/>
      <c r="T346" s="11"/>
      <c r="U346" s="11"/>
      <c r="V346" s="1058"/>
      <c r="W346" t="s" s="1035">
        <v>870</v>
      </c>
      <c r="X346" s="1040"/>
      <c r="Y346" s="949"/>
      <c r="Z346" s="11"/>
      <c r="AA346" s="11"/>
      <c r="AB346" s="11"/>
      <c r="AC346" s="11"/>
      <c r="AD346" s="11"/>
    </row>
    <row r="347" ht="13.55" customHeight="1">
      <c r="A347" s="10"/>
      <c r="B347" s="11"/>
      <c r="C347" s="11"/>
      <c r="D347" s="11"/>
      <c r="E347" s="11"/>
      <c r="F347" s="11"/>
      <c r="G347" s="11"/>
      <c r="H347" s="11"/>
      <c r="I347" s="11"/>
      <c r="J347" s="11"/>
      <c r="K347" s="11"/>
      <c r="L347" s="11"/>
      <c r="M347" s="11"/>
      <c r="N347" s="11"/>
      <c r="O347" s="11"/>
      <c r="P347" s="11"/>
      <c r="Q347" s="11"/>
      <c r="R347" s="11"/>
      <c r="S347" s="11"/>
      <c r="T347" s="11"/>
      <c r="U347" s="11"/>
      <c r="V347" s="1058"/>
      <c r="W347" t="s" s="1035">
        <v>871</v>
      </c>
      <c r="X347" s="1040"/>
      <c r="Y347" s="949"/>
      <c r="Z347" s="11"/>
      <c r="AA347" s="11"/>
      <c r="AB347" s="11"/>
      <c r="AC347" s="11"/>
      <c r="AD347" s="11"/>
    </row>
    <row r="348" ht="13.55" customHeight="1">
      <c r="A348" s="10"/>
      <c r="B348" s="11"/>
      <c r="C348" s="11"/>
      <c r="D348" s="11"/>
      <c r="E348" s="11"/>
      <c r="F348" s="11"/>
      <c r="G348" s="11"/>
      <c r="H348" s="11"/>
      <c r="I348" s="11"/>
      <c r="J348" s="11"/>
      <c r="K348" s="11"/>
      <c r="L348" s="11"/>
      <c r="M348" s="11"/>
      <c r="N348" s="11"/>
      <c r="O348" s="11"/>
      <c r="P348" s="11"/>
      <c r="Q348" s="11"/>
      <c r="R348" s="11"/>
      <c r="S348" s="11"/>
      <c r="T348" s="11"/>
      <c r="U348" s="11"/>
      <c r="V348" s="1058"/>
      <c r="W348" t="s" s="1035">
        <v>872</v>
      </c>
      <c r="X348" s="1040"/>
      <c r="Y348" s="949"/>
      <c r="Z348" s="11"/>
      <c r="AA348" s="11"/>
      <c r="AB348" s="11"/>
      <c r="AC348" s="11"/>
      <c r="AD348" s="11"/>
    </row>
    <row r="349" ht="13.55" customHeight="1">
      <c r="A349" s="10"/>
      <c r="B349" s="11"/>
      <c r="C349" s="11"/>
      <c r="D349" s="11"/>
      <c r="E349" s="11"/>
      <c r="F349" s="11"/>
      <c r="G349" s="11"/>
      <c r="H349" s="11"/>
      <c r="I349" s="11"/>
      <c r="J349" s="11"/>
      <c r="K349" s="11"/>
      <c r="L349" s="11"/>
      <c r="M349" s="11"/>
      <c r="N349" s="11"/>
      <c r="O349" s="11"/>
      <c r="P349" s="11"/>
      <c r="Q349" s="11"/>
      <c r="R349" s="11"/>
      <c r="S349" s="11"/>
      <c r="T349" s="11"/>
      <c r="U349" s="11"/>
      <c r="V349" s="1058"/>
      <c r="W349" t="s" s="1035">
        <v>873</v>
      </c>
      <c r="X349" s="1040"/>
      <c r="Y349" s="949"/>
      <c r="Z349" s="11"/>
      <c r="AA349" s="11"/>
      <c r="AB349" s="11"/>
      <c r="AC349" s="11"/>
      <c r="AD349" s="11"/>
    </row>
    <row r="350" ht="13.55" customHeight="1">
      <c r="A350" s="10"/>
      <c r="B350" s="11"/>
      <c r="C350" s="11"/>
      <c r="D350" s="11"/>
      <c r="E350" s="11"/>
      <c r="F350" s="11"/>
      <c r="G350" s="11"/>
      <c r="H350" s="11"/>
      <c r="I350" s="11"/>
      <c r="J350" s="11"/>
      <c r="K350" s="11"/>
      <c r="L350" s="11"/>
      <c r="M350" s="11"/>
      <c r="N350" s="11"/>
      <c r="O350" s="11"/>
      <c r="P350" s="11"/>
      <c r="Q350" s="11"/>
      <c r="R350" s="11"/>
      <c r="S350" s="11"/>
      <c r="T350" s="11"/>
      <c r="U350" s="11"/>
      <c r="V350" s="1058"/>
      <c r="W350" t="s" s="1035">
        <v>874</v>
      </c>
      <c r="X350" s="1040"/>
      <c r="Y350" s="949"/>
      <c r="Z350" s="11"/>
      <c r="AA350" s="11"/>
      <c r="AB350" s="11"/>
      <c r="AC350" s="11"/>
      <c r="AD350" s="11"/>
    </row>
    <row r="351" ht="13.55" customHeight="1">
      <c r="A351" s="10"/>
      <c r="B351" s="11"/>
      <c r="C351" s="11"/>
      <c r="D351" s="11"/>
      <c r="E351" s="11"/>
      <c r="F351" s="11"/>
      <c r="G351" s="11"/>
      <c r="H351" s="11"/>
      <c r="I351" s="11"/>
      <c r="J351" s="11"/>
      <c r="K351" s="11"/>
      <c r="L351" s="11"/>
      <c r="M351" s="11"/>
      <c r="N351" s="11"/>
      <c r="O351" s="11"/>
      <c r="P351" s="11"/>
      <c r="Q351" s="11"/>
      <c r="R351" s="11"/>
      <c r="S351" s="11"/>
      <c r="T351" s="11"/>
      <c r="U351" s="11"/>
      <c r="V351" s="1058"/>
      <c r="W351" t="s" s="1035">
        <v>875</v>
      </c>
      <c r="X351" s="1040"/>
      <c r="Y351" s="949"/>
      <c r="Z351" s="11"/>
      <c r="AA351" s="11"/>
      <c r="AB351" s="11"/>
      <c r="AC351" s="11"/>
      <c r="AD351" s="11"/>
    </row>
    <row r="352" ht="13.55" customHeight="1">
      <c r="A352" s="10"/>
      <c r="B352" s="11"/>
      <c r="C352" s="11"/>
      <c r="D352" s="11"/>
      <c r="E352" s="11"/>
      <c r="F352" s="11"/>
      <c r="G352" s="11"/>
      <c r="H352" s="11"/>
      <c r="I352" s="11"/>
      <c r="J352" s="11"/>
      <c r="K352" s="11"/>
      <c r="L352" s="11"/>
      <c r="M352" s="11"/>
      <c r="N352" s="11"/>
      <c r="O352" s="11"/>
      <c r="P352" s="11"/>
      <c r="Q352" s="11"/>
      <c r="R352" s="11"/>
      <c r="S352" s="11"/>
      <c r="T352" s="11"/>
      <c r="U352" s="11"/>
      <c r="V352" s="1058"/>
      <c r="W352" t="s" s="1035">
        <v>876</v>
      </c>
      <c r="X352" s="1040"/>
      <c r="Y352" s="949"/>
      <c r="Z352" s="11"/>
      <c r="AA352" s="11"/>
      <c r="AB352" s="11"/>
      <c r="AC352" s="11"/>
      <c r="AD352" s="11"/>
    </row>
    <row r="353" ht="13.55" customHeight="1">
      <c r="A353" s="10"/>
      <c r="B353" s="11"/>
      <c r="C353" s="11"/>
      <c r="D353" s="11"/>
      <c r="E353" s="11"/>
      <c r="F353" s="11"/>
      <c r="G353" s="11"/>
      <c r="H353" s="11"/>
      <c r="I353" s="11"/>
      <c r="J353" s="11"/>
      <c r="K353" s="11"/>
      <c r="L353" s="11"/>
      <c r="M353" s="11"/>
      <c r="N353" s="11"/>
      <c r="O353" s="11"/>
      <c r="P353" s="11"/>
      <c r="Q353" s="11"/>
      <c r="R353" s="11"/>
      <c r="S353" s="11"/>
      <c r="T353" s="11"/>
      <c r="U353" s="11"/>
      <c r="V353" s="1058"/>
      <c r="W353" t="s" s="1035">
        <v>877</v>
      </c>
      <c r="X353" s="1040"/>
      <c r="Y353" s="949"/>
      <c r="Z353" s="11"/>
      <c r="AA353" s="11"/>
      <c r="AB353" s="11"/>
      <c r="AC353" s="11"/>
      <c r="AD353" s="11"/>
    </row>
    <row r="354" ht="13.55" customHeight="1">
      <c r="A354" s="10"/>
      <c r="B354" s="11"/>
      <c r="C354" s="11"/>
      <c r="D354" s="11"/>
      <c r="E354" s="11"/>
      <c r="F354" s="11"/>
      <c r="G354" s="11"/>
      <c r="H354" s="11"/>
      <c r="I354" s="11"/>
      <c r="J354" s="11"/>
      <c r="K354" s="11"/>
      <c r="L354" s="11"/>
      <c r="M354" s="11"/>
      <c r="N354" s="11"/>
      <c r="O354" s="11"/>
      <c r="P354" s="11"/>
      <c r="Q354" s="11"/>
      <c r="R354" s="11"/>
      <c r="S354" s="11"/>
      <c r="T354" s="11"/>
      <c r="U354" s="11"/>
      <c r="V354" s="1058"/>
      <c r="W354" t="s" s="1035">
        <v>878</v>
      </c>
      <c r="X354" s="1040"/>
      <c r="Y354" s="949"/>
      <c r="Z354" s="11"/>
      <c r="AA354" s="11"/>
      <c r="AB354" s="11"/>
      <c r="AC354" s="11"/>
      <c r="AD354" s="11"/>
    </row>
    <row r="355" ht="13.55" customHeight="1">
      <c r="A355" s="10"/>
      <c r="B355" s="11"/>
      <c r="C355" s="11"/>
      <c r="D355" s="11"/>
      <c r="E355" s="11"/>
      <c r="F355" s="11"/>
      <c r="G355" s="11"/>
      <c r="H355" s="11"/>
      <c r="I355" s="11"/>
      <c r="J355" s="11"/>
      <c r="K355" s="11"/>
      <c r="L355" s="11"/>
      <c r="M355" s="11"/>
      <c r="N355" s="11"/>
      <c r="O355" s="11"/>
      <c r="P355" s="11"/>
      <c r="Q355" s="11"/>
      <c r="R355" s="11"/>
      <c r="S355" s="11"/>
      <c r="T355" s="11"/>
      <c r="U355" s="11"/>
      <c r="V355" s="1058"/>
      <c r="W355" t="s" s="1035">
        <v>879</v>
      </c>
      <c r="X355" s="1040"/>
      <c r="Y355" s="949"/>
      <c r="Z355" s="11"/>
      <c r="AA355" s="11"/>
      <c r="AB355" s="11"/>
      <c r="AC355" s="11"/>
      <c r="AD355" s="11"/>
    </row>
    <row r="356" ht="13.55" customHeight="1">
      <c r="A356" s="10"/>
      <c r="B356" s="11"/>
      <c r="C356" s="11"/>
      <c r="D356" s="11"/>
      <c r="E356" s="11"/>
      <c r="F356" s="11"/>
      <c r="G356" s="11"/>
      <c r="H356" s="11"/>
      <c r="I356" s="11"/>
      <c r="J356" s="11"/>
      <c r="K356" s="11"/>
      <c r="L356" s="11"/>
      <c r="M356" s="11"/>
      <c r="N356" s="11"/>
      <c r="O356" s="11"/>
      <c r="P356" s="11"/>
      <c r="Q356" s="11"/>
      <c r="R356" s="11"/>
      <c r="S356" s="11"/>
      <c r="T356" s="11"/>
      <c r="U356" s="11"/>
      <c r="V356" s="1058"/>
      <c r="W356" t="s" s="1035">
        <v>880</v>
      </c>
      <c r="X356" s="1040"/>
      <c r="Y356" s="949"/>
      <c r="Z356" s="11"/>
      <c r="AA356" s="11"/>
      <c r="AB356" s="11"/>
      <c r="AC356" s="11"/>
      <c r="AD356" s="11"/>
    </row>
    <row r="357" ht="13.55" customHeight="1">
      <c r="A357" s="10"/>
      <c r="B357" s="11"/>
      <c r="C357" s="11"/>
      <c r="D357" s="11"/>
      <c r="E357" s="11"/>
      <c r="F357" s="11"/>
      <c r="G357" s="11"/>
      <c r="H357" s="11"/>
      <c r="I357" s="11"/>
      <c r="J357" s="11"/>
      <c r="K357" s="11"/>
      <c r="L357" s="11"/>
      <c r="M357" s="11"/>
      <c r="N357" s="11"/>
      <c r="O357" s="11"/>
      <c r="P357" s="11"/>
      <c r="Q357" s="11"/>
      <c r="R357" s="11"/>
      <c r="S357" s="11"/>
      <c r="T357" s="11"/>
      <c r="U357" s="11"/>
      <c r="V357" s="1058"/>
      <c r="W357" t="s" s="1035">
        <v>881</v>
      </c>
      <c r="X357" s="1040"/>
      <c r="Y357" s="949"/>
      <c r="Z357" s="11"/>
      <c r="AA357" s="11"/>
      <c r="AB357" s="11"/>
      <c r="AC357" s="11"/>
      <c r="AD357" s="11"/>
    </row>
    <row r="358" ht="13.55" customHeight="1">
      <c r="A358" s="10"/>
      <c r="B358" s="11"/>
      <c r="C358" s="11"/>
      <c r="D358" s="11"/>
      <c r="E358" s="11"/>
      <c r="F358" s="11"/>
      <c r="G358" s="11"/>
      <c r="H358" s="11"/>
      <c r="I358" s="11"/>
      <c r="J358" s="11"/>
      <c r="K358" s="11"/>
      <c r="L358" s="11"/>
      <c r="M358" s="11"/>
      <c r="N358" s="11"/>
      <c r="O358" s="11"/>
      <c r="P358" s="11"/>
      <c r="Q358" s="11"/>
      <c r="R358" s="11"/>
      <c r="S358" s="11"/>
      <c r="T358" s="11"/>
      <c r="U358" s="11"/>
      <c r="V358" s="1058"/>
      <c r="W358" t="s" s="1035">
        <v>882</v>
      </c>
      <c r="X358" s="1040"/>
      <c r="Y358" s="949"/>
      <c r="Z358" s="11"/>
      <c r="AA358" s="11"/>
      <c r="AB358" s="11"/>
      <c r="AC358" s="11"/>
      <c r="AD358" s="11"/>
    </row>
    <row r="359" ht="13.55" customHeight="1">
      <c r="A359" s="10"/>
      <c r="B359" s="11"/>
      <c r="C359" s="11"/>
      <c r="D359" s="11"/>
      <c r="E359" s="11"/>
      <c r="F359" s="11"/>
      <c r="G359" s="11"/>
      <c r="H359" s="11"/>
      <c r="I359" s="11"/>
      <c r="J359" s="11"/>
      <c r="K359" s="11"/>
      <c r="L359" s="11"/>
      <c r="M359" s="11"/>
      <c r="N359" s="11"/>
      <c r="O359" s="11"/>
      <c r="P359" s="11"/>
      <c r="Q359" s="11"/>
      <c r="R359" s="11"/>
      <c r="S359" s="11"/>
      <c r="T359" s="11"/>
      <c r="U359" s="11"/>
      <c r="V359" s="1058"/>
      <c r="W359" t="s" s="1035">
        <v>883</v>
      </c>
      <c r="X359" s="1040"/>
      <c r="Y359" s="949"/>
      <c r="Z359" s="11"/>
      <c r="AA359" s="11"/>
      <c r="AB359" s="11"/>
      <c r="AC359" s="11"/>
      <c r="AD359" s="11"/>
    </row>
    <row r="360" ht="13.55" customHeight="1">
      <c r="A360" s="10"/>
      <c r="B360" s="11"/>
      <c r="C360" s="11"/>
      <c r="D360" s="11"/>
      <c r="E360" s="11"/>
      <c r="F360" s="11"/>
      <c r="G360" s="11"/>
      <c r="H360" s="11"/>
      <c r="I360" s="11"/>
      <c r="J360" s="11"/>
      <c r="K360" s="11"/>
      <c r="L360" s="11"/>
      <c r="M360" s="11"/>
      <c r="N360" s="11"/>
      <c r="O360" s="11"/>
      <c r="P360" s="11"/>
      <c r="Q360" s="11"/>
      <c r="R360" s="11"/>
      <c r="S360" s="11"/>
      <c r="T360" s="11"/>
      <c r="U360" s="11"/>
      <c r="V360" s="1058"/>
      <c r="W360" t="s" s="1035">
        <v>884</v>
      </c>
      <c r="X360" s="1040"/>
      <c r="Y360" s="949"/>
      <c r="Z360" s="11"/>
      <c r="AA360" s="11"/>
      <c r="AB360" s="11"/>
      <c r="AC360" s="11"/>
      <c r="AD360" s="11"/>
    </row>
    <row r="361" ht="13.55" customHeight="1">
      <c r="A361" s="10"/>
      <c r="B361" s="11"/>
      <c r="C361" s="11"/>
      <c r="D361" s="11"/>
      <c r="E361" s="11"/>
      <c r="F361" s="11"/>
      <c r="G361" s="11"/>
      <c r="H361" s="11"/>
      <c r="I361" s="11"/>
      <c r="J361" s="11"/>
      <c r="K361" s="11"/>
      <c r="L361" s="11"/>
      <c r="M361" s="11"/>
      <c r="N361" s="11"/>
      <c r="O361" s="11"/>
      <c r="P361" s="11"/>
      <c r="Q361" s="11"/>
      <c r="R361" s="11"/>
      <c r="S361" s="11"/>
      <c r="T361" s="11"/>
      <c r="U361" s="11"/>
      <c r="V361" s="1058"/>
      <c r="W361" t="s" s="1035">
        <v>885</v>
      </c>
      <c r="X361" s="1040"/>
      <c r="Y361" s="949"/>
      <c r="Z361" s="11"/>
      <c r="AA361" s="11"/>
      <c r="AB361" s="11"/>
      <c r="AC361" s="11"/>
      <c r="AD361" s="11"/>
    </row>
    <row r="362" ht="13.55" customHeight="1">
      <c r="A362" s="10"/>
      <c r="B362" s="11"/>
      <c r="C362" s="11"/>
      <c r="D362" s="11"/>
      <c r="E362" s="11"/>
      <c r="F362" s="11"/>
      <c r="G362" s="11"/>
      <c r="H362" s="11"/>
      <c r="I362" s="11"/>
      <c r="J362" s="11"/>
      <c r="K362" s="11"/>
      <c r="L362" s="11"/>
      <c r="M362" s="11"/>
      <c r="N362" s="11"/>
      <c r="O362" s="11"/>
      <c r="P362" s="11"/>
      <c r="Q362" s="11"/>
      <c r="R362" s="11"/>
      <c r="S362" s="11"/>
      <c r="T362" s="11"/>
      <c r="U362" s="11"/>
      <c r="V362" s="1058"/>
      <c r="W362" t="s" s="1035">
        <v>886</v>
      </c>
      <c r="X362" s="1040"/>
      <c r="Y362" s="949"/>
      <c r="Z362" s="11"/>
      <c r="AA362" s="11"/>
      <c r="AB362" s="11"/>
      <c r="AC362" s="11"/>
      <c r="AD362" s="11"/>
    </row>
    <row r="363" ht="13.55" customHeight="1">
      <c r="A363" s="10"/>
      <c r="B363" s="11"/>
      <c r="C363" s="11"/>
      <c r="D363" s="11"/>
      <c r="E363" s="11"/>
      <c r="F363" s="11"/>
      <c r="G363" s="11"/>
      <c r="H363" s="11"/>
      <c r="I363" s="11"/>
      <c r="J363" s="11"/>
      <c r="K363" s="11"/>
      <c r="L363" s="11"/>
      <c r="M363" s="11"/>
      <c r="N363" s="11"/>
      <c r="O363" s="11"/>
      <c r="P363" s="11"/>
      <c r="Q363" s="11"/>
      <c r="R363" s="11"/>
      <c r="S363" s="11"/>
      <c r="T363" s="11"/>
      <c r="U363" s="11"/>
      <c r="V363" s="1058"/>
      <c r="W363" t="s" s="1035">
        <v>887</v>
      </c>
      <c r="X363" s="1040"/>
      <c r="Y363" s="949"/>
      <c r="Z363" s="11"/>
      <c r="AA363" s="11"/>
      <c r="AB363" s="11"/>
      <c r="AC363" s="11"/>
      <c r="AD363" s="11"/>
    </row>
    <row r="364" ht="13.55" customHeight="1">
      <c r="A364" s="10"/>
      <c r="B364" s="11"/>
      <c r="C364" s="11"/>
      <c r="D364" s="11"/>
      <c r="E364" s="11"/>
      <c r="F364" s="11"/>
      <c r="G364" s="11"/>
      <c r="H364" s="11"/>
      <c r="I364" s="11"/>
      <c r="J364" s="11"/>
      <c r="K364" s="11"/>
      <c r="L364" s="11"/>
      <c r="M364" s="11"/>
      <c r="N364" s="11"/>
      <c r="O364" s="11"/>
      <c r="P364" s="11"/>
      <c r="Q364" s="11"/>
      <c r="R364" s="11"/>
      <c r="S364" s="11"/>
      <c r="T364" s="11"/>
      <c r="U364" s="11"/>
      <c r="V364" s="1058"/>
      <c r="W364" t="s" s="1035">
        <v>888</v>
      </c>
      <c r="X364" s="1040"/>
      <c r="Y364" s="949"/>
      <c r="Z364" s="11"/>
      <c r="AA364" s="11"/>
      <c r="AB364" s="11"/>
      <c r="AC364" s="11"/>
      <c r="AD364" s="11"/>
    </row>
    <row r="365" ht="13.55" customHeight="1">
      <c r="A365" s="10"/>
      <c r="B365" s="11"/>
      <c r="C365" s="11"/>
      <c r="D365" s="11"/>
      <c r="E365" s="11"/>
      <c r="F365" s="11"/>
      <c r="G365" s="11"/>
      <c r="H365" s="11"/>
      <c r="I365" s="11"/>
      <c r="J365" s="11"/>
      <c r="K365" s="11"/>
      <c r="L365" s="11"/>
      <c r="M365" s="11"/>
      <c r="N365" s="11"/>
      <c r="O365" s="11"/>
      <c r="P365" s="11"/>
      <c r="Q365" s="11"/>
      <c r="R365" s="11"/>
      <c r="S365" s="11"/>
      <c r="T365" s="11"/>
      <c r="U365" s="11"/>
      <c r="V365" s="1058"/>
      <c r="W365" t="s" s="1035">
        <v>889</v>
      </c>
      <c r="X365" s="1040"/>
      <c r="Y365" s="949"/>
      <c r="Z365" s="11"/>
      <c r="AA365" s="11"/>
      <c r="AB365" s="11"/>
      <c r="AC365" s="11"/>
      <c r="AD365" s="11"/>
    </row>
    <row r="366" ht="13.55" customHeight="1">
      <c r="A366" s="10"/>
      <c r="B366" s="11"/>
      <c r="C366" s="11"/>
      <c r="D366" s="11"/>
      <c r="E366" s="11"/>
      <c r="F366" s="11"/>
      <c r="G366" s="11"/>
      <c r="H366" s="11"/>
      <c r="I366" s="11"/>
      <c r="J366" s="11"/>
      <c r="K366" s="11"/>
      <c r="L366" s="11"/>
      <c r="M366" s="11"/>
      <c r="N366" s="11"/>
      <c r="O366" s="11"/>
      <c r="P366" s="11"/>
      <c r="Q366" s="11"/>
      <c r="R366" s="11"/>
      <c r="S366" s="11"/>
      <c r="T366" s="11"/>
      <c r="U366" s="11"/>
      <c r="V366" s="1058"/>
      <c r="W366" t="s" s="1035">
        <v>890</v>
      </c>
      <c r="X366" s="1040"/>
      <c r="Y366" s="949"/>
      <c r="Z366" s="11"/>
      <c r="AA366" s="11"/>
      <c r="AB366" s="11"/>
      <c r="AC366" s="11"/>
      <c r="AD366" s="11"/>
    </row>
    <row r="367" ht="13.55" customHeight="1">
      <c r="A367" s="10"/>
      <c r="B367" s="11"/>
      <c r="C367" s="11"/>
      <c r="D367" s="11"/>
      <c r="E367" s="11"/>
      <c r="F367" s="11"/>
      <c r="G367" s="11"/>
      <c r="H367" s="11"/>
      <c r="I367" s="11"/>
      <c r="J367" s="11"/>
      <c r="K367" s="11"/>
      <c r="L367" s="11"/>
      <c r="M367" s="11"/>
      <c r="N367" s="11"/>
      <c r="O367" s="11"/>
      <c r="P367" s="11"/>
      <c r="Q367" s="11"/>
      <c r="R367" s="11"/>
      <c r="S367" s="11"/>
      <c r="T367" s="11"/>
      <c r="U367" s="11"/>
      <c r="V367" s="1058"/>
      <c r="W367" t="s" s="1035">
        <v>891</v>
      </c>
      <c r="X367" s="1040"/>
      <c r="Y367" s="949"/>
      <c r="Z367" s="11"/>
      <c r="AA367" s="11"/>
      <c r="AB367" s="11"/>
      <c r="AC367" s="11"/>
      <c r="AD367" s="11"/>
    </row>
    <row r="368" ht="13.55" customHeight="1">
      <c r="A368" s="10"/>
      <c r="B368" s="11"/>
      <c r="C368" s="11"/>
      <c r="D368" s="11"/>
      <c r="E368" s="11"/>
      <c r="F368" s="11"/>
      <c r="G368" s="11"/>
      <c r="H368" s="11"/>
      <c r="I368" s="11"/>
      <c r="J368" s="11"/>
      <c r="K368" s="11"/>
      <c r="L368" s="11"/>
      <c r="M368" s="11"/>
      <c r="N368" s="11"/>
      <c r="O368" s="11"/>
      <c r="P368" s="11"/>
      <c r="Q368" s="11"/>
      <c r="R368" s="11"/>
      <c r="S368" s="11"/>
      <c r="T368" s="11"/>
      <c r="U368" s="11"/>
      <c r="V368" s="1058"/>
      <c r="W368" t="s" s="1035">
        <v>892</v>
      </c>
      <c r="X368" s="1040"/>
      <c r="Y368" s="949"/>
      <c r="Z368" s="11"/>
      <c r="AA368" s="11"/>
      <c r="AB368" s="11"/>
      <c r="AC368" s="11"/>
      <c r="AD368" s="11"/>
    </row>
    <row r="369" ht="13.55" customHeight="1">
      <c r="A369" s="10"/>
      <c r="B369" s="11"/>
      <c r="C369" s="11"/>
      <c r="D369" s="11"/>
      <c r="E369" s="11"/>
      <c r="F369" s="11"/>
      <c r="G369" s="11"/>
      <c r="H369" s="11"/>
      <c r="I369" s="11"/>
      <c r="J369" s="11"/>
      <c r="K369" s="11"/>
      <c r="L369" s="11"/>
      <c r="M369" s="11"/>
      <c r="N369" s="11"/>
      <c r="O369" s="11"/>
      <c r="P369" s="11"/>
      <c r="Q369" s="11"/>
      <c r="R369" s="11"/>
      <c r="S369" s="11"/>
      <c r="T369" s="11"/>
      <c r="U369" s="11"/>
      <c r="V369" s="1058"/>
      <c r="W369" t="s" s="1035">
        <v>893</v>
      </c>
      <c r="X369" s="1040"/>
      <c r="Y369" s="949"/>
      <c r="Z369" s="11"/>
      <c r="AA369" s="11"/>
      <c r="AB369" s="11"/>
      <c r="AC369" s="11"/>
      <c r="AD369" s="11"/>
    </row>
    <row r="370" ht="13.55" customHeight="1">
      <c r="A370" s="10"/>
      <c r="B370" s="11"/>
      <c r="C370" s="11"/>
      <c r="D370" s="11"/>
      <c r="E370" s="11"/>
      <c r="F370" s="11"/>
      <c r="G370" s="11"/>
      <c r="H370" s="11"/>
      <c r="I370" s="11"/>
      <c r="J370" s="11"/>
      <c r="K370" s="11"/>
      <c r="L370" s="11"/>
      <c r="M370" s="11"/>
      <c r="N370" s="11"/>
      <c r="O370" s="11"/>
      <c r="P370" s="11"/>
      <c r="Q370" s="11"/>
      <c r="R370" s="11"/>
      <c r="S370" s="11"/>
      <c r="T370" s="11"/>
      <c r="U370" s="11"/>
      <c r="V370" s="1058"/>
      <c r="W370" t="s" s="1035">
        <v>894</v>
      </c>
      <c r="X370" s="1040"/>
      <c r="Y370" s="949"/>
      <c r="Z370" s="11"/>
      <c r="AA370" s="11"/>
      <c r="AB370" s="11"/>
      <c r="AC370" s="11"/>
      <c r="AD370" s="11"/>
    </row>
    <row r="371" ht="13.55" customHeight="1">
      <c r="A371" s="10"/>
      <c r="B371" s="11"/>
      <c r="C371" s="11"/>
      <c r="D371" s="11"/>
      <c r="E371" s="11"/>
      <c r="F371" s="11"/>
      <c r="G371" s="11"/>
      <c r="H371" s="11"/>
      <c r="I371" s="11"/>
      <c r="J371" s="11"/>
      <c r="K371" s="11"/>
      <c r="L371" s="11"/>
      <c r="M371" s="11"/>
      <c r="N371" s="11"/>
      <c r="O371" s="11"/>
      <c r="P371" s="11"/>
      <c r="Q371" s="11"/>
      <c r="R371" s="11"/>
      <c r="S371" s="11"/>
      <c r="T371" s="11"/>
      <c r="U371" s="11"/>
      <c r="V371" s="1058"/>
      <c r="W371" t="s" s="1035">
        <v>895</v>
      </c>
      <c r="X371" s="1040"/>
      <c r="Y371" s="949"/>
      <c r="Z371" s="11"/>
      <c r="AA371" s="11"/>
      <c r="AB371" s="11"/>
      <c r="AC371" s="11"/>
      <c r="AD371" s="11"/>
    </row>
    <row r="372" ht="13.55" customHeight="1">
      <c r="A372" s="10"/>
      <c r="B372" s="11"/>
      <c r="C372" s="11"/>
      <c r="D372" s="11"/>
      <c r="E372" s="11"/>
      <c r="F372" s="11"/>
      <c r="G372" s="11"/>
      <c r="H372" s="11"/>
      <c r="I372" s="11"/>
      <c r="J372" s="11"/>
      <c r="K372" s="11"/>
      <c r="L372" s="11"/>
      <c r="M372" s="11"/>
      <c r="N372" s="11"/>
      <c r="O372" s="11"/>
      <c r="P372" s="11"/>
      <c r="Q372" s="11"/>
      <c r="R372" s="11"/>
      <c r="S372" s="11"/>
      <c r="T372" s="11"/>
      <c r="U372" s="11"/>
      <c r="V372" s="1058"/>
      <c r="W372" t="s" s="1035">
        <v>896</v>
      </c>
      <c r="X372" s="1040"/>
      <c r="Y372" s="949"/>
      <c r="Z372" s="11"/>
      <c r="AA372" s="11"/>
      <c r="AB372" s="11"/>
      <c r="AC372" s="11"/>
      <c r="AD372" s="11"/>
    </row>
    <row r="373" ht="13.55" customHeight="1">
      <c r="A373" s="10"/>
      <c r="B373" s="11"/>
      <c r="C373" s="11"/>
      <c r="D373" s="11"/>
      <c r="E373" s="11"/>
      <c r="F373" s="11"/>
      <c r="G373" s="11"/>
      <c r="H373" s="11"/>
      <c r="I373" s="11"/>
      <c r="J373" s="11"/>
      <c r="K373" s="11"/>
      <c r="L373" s="11"/>
      <c r="M373" s="11"/>
      <c r="N373" s="11"/>
      <c r="O373" s="11"/>
      <c r="P373" s="11"/>
      <c r="Q373" s="11"/>
      <c r="R373" s="11"/>
      <c r="S373" s="11"/>
      <c r="T373" s="11"/>
      <c r="U373" s="11"/>
      <c r="V373" s="1058"/>
      <c r="W373" t="s" s="1035">
        <v>897</v>
      </c>
      <c r="X373" s="1040"/>
      <c r="Y373" s="949"/>
      <c r="Z373" s="11"/>
      <c r="AA373" s="11"/>
      <c r="AB373" s="11"/>
      <c r="AC373" s="11"/>
      <c r="AD373" s="11"/>
    </row>
    <row r="374" ht="13.55" customHeight="1">
      <c r="A374" s="10"/>
      <c r="B374" s="11"/>
      <c r="C374" s="11"/>
      <c r="D374" s="11"/>
      <c r="E374" s="11"/>
      <c r="F374" s="11"/>
      <c r="G374" s="11"/>
      <c r="H374" s="11"/>
      <c r="I374" s="11"/>
      <c r="J374" s="11"/>
      <c r="K374" s="11"/>
      <c r="L374" s="11"/>
      <c r="M374" s="11"/>
      <c r="N374" s="11"/>
      <c r="O374" s="11"/>
      <c r="P374" s="11"/>
      <c r="Q374" s="11"/>
      <c r="R374" s="11"/>
      <c r="S374" s="11"/>
      <c r="T374" s="11"/>
      <c r="U374" s="11"/>
      <c r="V374" s="1058"/>
      <c r="W374" t="s" s="1035">
        <v>898</v>
      </c>
      <c r="X374" s="1040"/>
      <c r="Y374" s="949"/>
      <c r="Z374" s="11"/>
      <c r="AA374" s="11"/>
      <c r="AB374" s="11"/>
      <c r="AC374" s="11"/>
      <c r="AD374" s="11"/>
    </row>
    <row r="375" ht="13.55" customHeight="1">
      <c r="A375" s="10"/>
      <c r="B375" s="11"/>
      <c r="C375" s="11"/>
      <c r="D375" s="11"/>
      <c r="E375" s="11"/>
      <c r="F375" s="11"/>
      <c r="G375" s="11"/>
      <c r="H375" s="11"/>
      <c r="I375" s="11"/>
      <c r="J375" s="11"/>
      <c r="K375" s="11"/>
      <c r="L375" s="11"/>
      <c r="M375" s="11"/>
      <c r="N375" s="11"/>
      <c r="O375" s="11"/>
      <c r="P375" s="11"/>
      <c r="Q375" s="11"/>
      <c r="R375" s="11"/>
      <c r="S375" s="11"/>
      <c r="T375" s="11"/>
      <c r="U375" s="11"/>
      <c r="V375" s="1058"/>
      <c r="W375" t="s" s="1035">
        <v>899</v>
      </c>
      <c r="X375" s="1040"/>
      <c r="Y375" s="949"/>
      <c r="Z375" s="11"/>
      <c r="AA375" s="11"/>
      <c r="AB375" s="11"/>
      <c r="AC375" s="11"/>
      <c r="AD375" s="11"/>
    </row>
    <row r="376" ht="13.55" customHeight="1">
      <c r="A376" s="10"/>
      <c r="B376" s="11"/>
      <c r="C376" s="11"/>
      <c r="D376" s="11"/>
      <c r="E376" s="11"/>
      <c r="F376" s="11"/>
      <c r="G376" s="11"/>
      <c r="H376" s="11"/>
      <c r="I376" s="11"/>
      <c r="J376" s="11"/>
      <c r="K376" s="11"/>
      <c r="L376" s="11"/>
      <c r="M376" s="11"/>
      <c r="N376" s="11"/>
      <c r="O376" s="11"/>
      <c r="P376" s="11"/>
      <c r="Q376" s="11"/>
      <c r="R376" s="11"/>
      <c r="S376" s="11"/>
      <c r="T376" s="11"/>
      <c r="U376" s="11"/>
      <c r="V376" s="1058"/>
      <c r="W376" t="s" s="1035">
        <v>900</v>
      </c>
      <c r="X376" s="1040"/>
      <c r="Y376" s="949"/>
      <c r="Z376" s="11"/>
      <c r="AA376" s="11"/>
      <c r="AB376" s="11"/>
      <c r="AC376" s="11"/>
      <c r="AD376" s="11"/>
    </row>
    <row r="377" ht="13.55" customHeight="1">
      <c r="A377" s="10"/>
      <c r="B377" s="11"/>
      <c r="C377" s="11"/>
      <c r="D377" s="11"/>
      <c r="E377" s="11"/>
      <c r="F377" s="11"/>
      <c r="G377" s="11"/>
      <c r="H377" s="11"/>
      <c r="I377" s="11"/>
      <c r="J377" s="11"/>
      <c r="K377" s="11"/>
      <c r="L377" s="11"/>
      <c r="M377" s="11"/>
      <c r="N377" s="11"/>
      <c r="O377" s="11"/>
      <c r="P377" s="11"/>
      <c r="Q377" s="11"/>
      <c r="R377" s="11"/>
      <c r="S377" s="11"/>
      <c r="T377" s="11"/>
      <c r="U377" s="11"/>
      <c r="V377" s="1058"/>
      <c r="W377" t="s" s="1035">
        <v>901</v>
      </c>
      <c r="X377" s="1040"/>
      <c r="Y377" s="949"/>
      <c r="Z377" s="11"/>
      <c r="AA377" s="11"/>
      <c r="AB377" s="11"/>
      <c r="AC377" s="11"/>
      <c r="AD377" s="11"/>
    </row>
    <row r="378" ht="13.55" customHeight="1">
      <c r="A378" s="10"/>
      <c r="B378" s="11"/>
      <c r="C378" s="11"/>
      <c r="D378" s="11"/>
      <c r="E378" s="11"/>
      <c r="F378" s="11"/>
      <c r="G378" s="11"/>
      <c r="H378" s="11"/>
      <c r="I378" s="11"/>
      <c r="J378" s="11"/>
      <c r="K378" s="11"/>
      <c r="L378" s="11"/>
      <c r="M378" s="11"/>
      <c r="N378" s="11"/>
      <c r="O378" s="11"/>
      <c r="P378" s="11"/>
      <c r="Q378" s="11"/>
      <c r="R378" s="11"/>
      <c r="S378" s="11"/>
      <c r="T378" s="11"/>
      <c r="U378" s="11"/>
      <c r="V378" s="1058"/>
      <c r="W378" t="s" s="1035">
        <v>902</v>
      </c>
      <c r="X378" s="1040"/>
      <c r="Y378" s="949"/>
      <c r="Z378" s="11"/>
      <c r="AA378" s="11"/>
      <c r="AB378" s="11"/>
      <c r="AC378" s="11"/>
      <c r="AD378" s="11"/>
    </row>
    <row r="379" ht="13.55" customHeight="1">
      <c r="A379" s="10"/>
      <c r="B379" s="11"/>
      <c r="C379" s="11"/>
      <c r="D379" s="11"/>
      <c r="E379" s="11"/>
      <c r="F379" s="11"/>
      <c r="G379" s="11"/>
      <c r="H379" s="11"/>
      <c r="I379" s="11"/>
      <c r="J379" s="11"/>
      <c r="K379" s="11"/>
      <c r="L379" s="11"/>
      <c r="M379" s="11"/>
      <c r="N379" s="11"/>
      <c r="O379" s="11"/>
      <c r="P379" s="11"/>
      <c r="Q379" s="11"/>
      <c r="R379" s="11"/>
      <c r="S379" s="11"/>
      <c r="T379" s="11"/>
      <c r="U379" s="11"/>
      <c r="V379" s="1058"/>
      <c r="W379" t="s" s="1035">
        <v>903</v>
      </c>
      <c r="X379" s="1040"/>
      <c r="Y379" s="949"/>
      <c r="Z379" s="11"/>
      <c r="AA379" s="11"/>
      <c r="AB379" s="11"/>
      <c r="AC379" s="11"/>
      <c r="AD379" s="11"/>
    </row>
    <row r="380" ht="13.55" customHeight="1">
      <c r="A380" s="10"/>
      <c r="B380" s="11"/>
      <c r="C380" s="11"/>
      <c r="D380" s="11"/>
      <c r="E380" s="11"/>
      <c r="F380" s="11"/>
      <c r="G380" s="11"/>
      <c r="H380" s="11"/>
      <c r="I380" s="11"/>
      <c r="J380" s="11"/>
      <c r="K380" s="11"/>
      <c r="L380" s="11"/>
      <c r="M380" s="11"/>
      <c r="N380" s="11"/>
      <c r="O380" s="11"/>
      <c r="P380" s="11"/>
      <c r="Q380" s="11"/>
      <c r="R380" s="11"/>
      <c r="S380" s="11"/>
      <c r="T380" s="11"/>
      <c r="U380" s="11"/>
      <c r="V380" s="1058"/>
      <c r="W380" t="s" s="1035">
        <v>904</v>
      </c>
      <c r="X380" s="1040"/>
      <c r="Y380" s="949"/>
      <c r="Z380" s="11"/>
      <c r="AA380" s="11"/>
      <c r="AB380" s="11"/>
      <c r="AC380" s="11"/>
      <c r="AD380" s="11"/>
    </row>
    <row r="381" ht="13.55" customHeight="1">
      <c r="A381" s="10"/>
      <c r="B381" s="11"/>
      <c r="C381" s="11"/>
      <c r="D381" s="11"/>
      <c r="E381" s="11"/>
      <c r="F381" s="11"/>
      <c r="G381" s="11"/>
      <c r="H381" s="11"/>
      <c r="I381" s="11"/>
      <c r="J381" s="11"/>
      <c r="K381" s="11"/>
      <c r="L381" s="11"/>
      <c r="M381" s="11"/>
      <c r="N381" s="11"/>
      <c r="O381" s="11"/>
      <c r="P381" s="11"/>
      <c r="Q381" s="11"/>
      <c r="R381" s="11"/>
      <c r="S381" s="11"/>
      <c r="T381" s="11"/>
      <c r="U381" s="11"/>
      <c r="V381" s="1058"/>
      <c r="W381" t="s" s="1035">
        <v>905</v>
      </c>
      <c r="X381" s="1040"/>
      <c r="Y381" s="949"/>
      <c r="Z381" s="11"/>
      <c r="AA381" s="11"/>
      <c r="AB381" s="11"/>
      <c r="AC381" s="11"/>
      <c r="AD381" s="11"/>
    </row>
    <row r="382" ht="13.55" customHeight="1">
      <c r="A382" s="10"/>
      <c r="B382" s="11"/>
      <c r="C382" s="11"/>
      <c r="D382" s="11"/>
      <c r="E382" s="11"/>
      <c r="F382" s="11"/>
      <c r="G382" s="11"/>
      <c r="H382" s="11"/>
      <c r="I382" s="11"/>
      <c r="J382" s="11"/>
      <c r="K382" s="11"/>
      <c r="L382" s="11"/>
      <c r="M382" s="11"/>
      <c r="N382" s="11"/>
      <c r="O382" s="11"/>
      <c r="P382" s="11"/>
      <c r="Q382" s="11"/>
      <c r="R382" s="11"/>
      <c r="S382" s="11"/>
      <c r="T382" s="11"/>
      <c r="U382" s="11"/>
      <c r="V382" s="1058"/>
      <c r="W382" t="s" s="1035">
        <v>906</v>
      </c>
      <c r="X382" s="1040"/>
      <c r="Y382" s="949"/>
      <c r="Z382" s="11"/>
      <c r="AA382" s="11"/>
      <c r="AB382" s="11"/>
      <c r="AC382" s="11"/>
      <c r="AD382" s="11"/>
    </row>
    <row r="383" ht="13.55" customHeight="1">
      <c r="A383" s="10"/>
      <c r="B383" s="11"/>
      <c r="C383" s="11"/>
      <c r="D383" s="11"/>
      <c r="E383" s="11"/>
      <c r="F383" s="11"/>
      <c r="G383" s="11"/>
      <c r="H383" s="11"/>
      <c r="I383" s="11"/>
      <c r="J383" s="11"/>
      <c r="K383" s="11"/>
      <c r="L383" s="11"/>
      <c r="M383" s="11"/>
      <c r="N383" s="11"/>
      <c r="O383" s="11"/>
      <c r="P383" s="11"/>
      <c r="Q383" s="11"/>
      <c r="R383" s="11"/>
      <c r="S383" s="11"/>
      <c r="T383" s="11"/>
      <c r="U383" s="11"/>
      <c r="V383" s="1058"/>
      <c r="W383" t="s" s="1035">
        <v>907</v>
      </c>
      <c r="X383" s="1040"/>
      <c r="Y383" s="949"/>
      <c r="Z383" s="11"/>
      <c r="AA383" s="11"/>
      <c r="AB383" s="11"/>
      <c r="AC383" s="11"/>
      <c r="AD383" s="11"/>
    </row>
    <row r="384" ht="13.55" customHeight="1">
      <c r="A384" s="10"/>
      <c r="B384" s="11"/>
      <c r="C384" s="11"/>
      <c r="D384" s="11"/>
      <c r="E384" s="11"/>
      <c r="F384" s="11"/>
      <c r="G384" s="11"/>
      <c r="H384" s="11"/>
      <c r="I384" s="11"/>
      <c r="J384" s="11"/>
      <c r="K384" s="11"/>
      <c r="L384" s="11"/>
      <c r="M384" s="11"/>
      <c r="N384" s="11"/>
      <c r="O384" s="11"/>
      <c r="P384" s="11"/>
      <c r="Q384" s="11"/>
      <c r="R384" s="11"/>
      <c r="S384" s="11"/>
      <c r="T384" s="11"/>
      <c r="U384" s="11"/>
      <c r="V384" s="1058"/>
      <c r="W384" t="s" s="1035">
        <v>908</v>
      </c>
      <c r="X384" s="1040"/>
      <c r="Y384" s="949"/>
      <c r="Z384" s="11"/>
      <c r="AA384" s="11"/>
      <c r="AB384" s="11"/>
      <c r="AC384" s="11"/>
      <c r="AD384" s="11"/>
    </row>
    <row r="385" ht="13.55" customHeight="1">
      <c r="A385" s="10"/>
      <c r="B385" s="11"/>
      <c r="C385" s="11"/>
      <c r="D385" s="11"/>
      <c r="E385" s="11"/>
      <c r="F385" s="11"/>
      <c r="G385" s="11"/>
      <c r="H385" s="11"/>
      <c r="I385" s="11"/>
      <c r="J385" s="11"/>
      <c r="K385" s="11"/>
      <c r="L385" s="11"/>
      <c r="M385" s="11"/>
      <c r="N385" s="11"/>
      <c r="O385" s="11"/>
      <c r="P385" s="11"/>
      <c r="Q385" s="11"/>
      <c r="R385" s="11"/>
      <c r="S385" s="11"/>
      <c r="T385" s="11"/>
      <c r="U385" s="11"/>
      <c r="V385" s="1058"/>
      <c r="W385" t="s" s="1035">
        <v>909</v>
      </c>
      <c r="X385" s="1040"/>
      <c r="Y385" s="949"/>
      <c r="Z385" s="11"/>
      <c r="AA385" s="11"/>
      <c r="AB385" s="11"/>
      <c r="AC385" s="11"/>
      <c r="AD385" s="11"/>
    </row>
    <row r="386" ht="13.55" customHeight="1">
      <c r="A386" s="10"/>
      <c r="B386" s="11"/>
      <c r="C386" s="11"/>
      <c r="D386" s="11"/>
      <c r="E386" s="11"/>
      <c r="F386" s="11"/>
      <c r="G386" s="11"/>
      <c r="H386" s="11"/>
      <c r="I386" s="11"/>
      <c r="J386" s="11"/>
      <c r="K386" s="11"/>
      <c r="L386" s="11"/>
      <c r="M386" s="11"/>
      <c r="N386" s="11"/>
      <c r="O386" s="11"/>
      <c r="P386" s="11"/>
      <c r="Q386" s="11"/>
      <c r="R386" s="11"/>
      <c r="S386" s="11"/>
      <c r="T386" s="11"/>
      <c r="U386" s="11"/>
      <c r="V386" s="1058"/>
      <c r="W386" t="s" s="1035">
        <v>910</v>
      </c>
      <c r="X386" s="1040"/>
      <c r="Y386" s="949"/>
      <c r="Z386" s="11"/>
      <c r="AA386" s="11"/>
      <c r="AB386" s="11"/>
      <c r="AC386" s="11"/>
      <c r="AD386" s="11"/>
    </row>
    <row r="387" ht="13.55" customHeight="1">
      <c r="A387" s="10"/>
      <c r="B387" s="11"/>
      <c r="C387" s="11"/>
      <c r="D387" s="11"/>
      <c r="E387" s="11"/>
      <c r="F387" s="11"/>
      <c r="G387" s="11"/>
      <c r="H387" s="11"/>
      <c r="I387" s="11"/>
      <c r="J387" s="11"/>
      <c r="K387" s="11"/>
      <c r="L387" s="11"/>
      <c r="M387" s="11"/>
      <c r="N387" s="11"/>
      <c r="O387" s="11"/>
      <c r="P387" s="11"/>
      <c r="Q387" s="11"/>
      <c r="R387" s="11"/>
      <c r="S387" s="11"/>
      <c r="T387" s="11"/>
      <c r="U387" s="11"/>
      <c r="V387" s="1058"/>
      <c r="W387" t="s" s="1035">
        <v>911</v>
      </c>
      <c r="X387" s="1040"/>
      <c r="Y387" s="949"/>
      <c r="Z387" s="11"/>
      <c r="AA387" s="11"/>
      <c r="AB387" s="11"/>
      <c r="AC387" s="11"/>
      <c r="AD387" s="11"/>
    </row>
    <row r="388" ht="13.55" customHeight="1">
      <c r="A388" s="10"/>
      <c r="B388" s="11"/>
      <c r="C388" s="11"/>
      <c r="D388" s="11"/>
      <c r="E388" s="11"/>
      <c r="F388" s="11"/>
      <c r="G388" s="11"/>
      <c r="H388" s="11"/>
      <c r="I388" s="11"/>
      <c r="J388" s="11"/>
      <c r="K388" s="11"/>
      <c r="L388" s="11"/>
      <c r="M388" s="11"/>
      <c r="N388" s="11"/>
      <c r="O388" s="11"/>
      <c r="P388" s="11"/>
      <c r="Q388" s="11"/>
      <c r="R388" s="11"/>
      <c r="S388" s="11"/>
      <c r="T388" s="11"/>
      <c r="U388" s="11"/>
      <c r="V388" s="1058"/>
      <c r="W388" t="s" s="1035">
        <v>912</v>
      </c>
      <c r="X388" s="1040"/>
      <c r="Y388" s="949"/>
      <c r="Z388" s="11"/>
      <c r="AA388" s="11"/>
      <c r="AB388" s="11"/>
      <c r="AC388" s="11"/>
      <c r="AD388" s="11"/>
    </row>
    <row r="389" ht="13.55" customHeight="1">
      <c r="A389" s="10"/>
      <c r="B389" s="11"/>
      <c r="C389" s="11"/>
      <c r="D389" s="11"/>
      <c r="E389" s="11"/>
      <c r="F389" s="11"/>
      <c r="G389" s="11"/>
      <c r="H389" s="11"/>
      <c r="I389" s="11"/>
      <c r="J389" s="11"/>
      <c r="K389" s="11"/>
      <c r="L389" s="11"/>
      <c r="M389" s="11"/>
      <c r="N389" s="11"/>
      <c r="O389" s="11"/>
      <c r="P389" s="11"/>
      <c r="Q389" s="11"/>
      <c r="R389" s="11"/>
      <c r="S389" s="11"/>
      <c r="T389" s="11"/>
      <c r="U389" s="11"/>
      <c r="V389" s="1058"/>
      <c r="W389" t="s" s="1035">
        <v>913</v>
      </c>
      <c r="X389" s="1040"/>
      <c r="Y389" s="949"/>
      <c r="Z389" s="11"/>
      <c r="AA389" s="11"/>
      <c r="AB389" s="11"/>
      <c r="AC389" s="11"/>
      <c r="AD389" s="11"/>
    </row>
    <row r="390" ht="13.55" customHeight="1">
      <c r="A390" s="10"/>
      <c r="B390" s="11"/>
      <c r="C390" s="11"/>
      <c r="D390" s="11"/>
      <c r="E390" s="11"/>
      <c r="F390" s="11"/>
      <c r="G390" s="11"/>
      <c r="H390" s="11"/>
      <c r="I390" s="11"/>
      <c r="J390" s="11"/>
      <c r="K390" s="11"/>
      <c r="L390" s="11"/>
      <c r="M390" s="11"/>
      <c r="N390" s="11"/>
      <c r="O390" s="11"/>
      <c r="P390" s="11"/>
      <c r="Q390" s="11"/>
      <c r="R390" s="11"/>
      <c r="S390" s="11"/>
      <c r="T390" s="11"/>
      <c r="U390" s="11"/>
      <c r="V390" s="1058"/>
      <c r="W390" t="s" s="1035">
        <v>914</v>
      </c>
      <c r="X390" s="1040"/>
      <c r="Y390" s="949"/>
      <c r="Z390" s="11"/>
      <c r="AA390" s="11"/>
      <c r="AB390" s="11"/>
      <c r="AC390" s="11"/>
      <c r="AD390" s="11"/>
    </row>
    <row r="391" ht="13.55" customHeight="1">
      <c r="A391" s="10"/>
      <c r="B391" s="11"/>
      <c r="C391" s="11"/>
      <c r="D391" s="11"/>
      <c r="E391" s="11"/>
      <c r="F391" s="11"/>
      <c r="G391" s="11"/>
      <c r="H391" s="11"/>
      <c r="I391" s="11"/>
      <c r="J391" s="11"/>
      <c r="K391" s="11"/>
      <c r="L391" s="11"/>
      <c r="M391" s="11"/>
      <c r="N391" s="11"/>
      <c r="O391" s="11"/>
      <c r="P391" s="11"/>
      <c r="Q391" s="11"/>
      <c r="R391" s="11"/>
      <c r="S391" s="11"/>
      <c r="T391" s="11"/>
      <c r="U391" s="11"/>
      <c r="V391" s="1058"/>
      <c r="W391" t="s" s="1035">
        <v>915</v>
      </c>
      <c r="X391" s="1040"/>
      <c r="Y391" s="949"/>
      <c r="Z391" s="11"/>
      <c r="AA391" s="11"/>
      <c r="AB391" s="11"/>
      <c r="AC391" s="11"/>
      <c r="AD391" s="11"/>
    </row>
    <row r="392" ht="13.55" customHeight="1">
      <c r="A392" s="10"/>
      <c r="B392" s="11"/>
      <c r="C392" s="11"/>
      <c r="D392" s="11"/>
      <c r="E392" s="11"/>
      <c r="F392" s="11"/>
      <c r="G392" s="11"/>
      <c r="H392" s="11"/>
      <c r="I392" s="11"/>
      <c r="J392" s="11"/>
      <c r="K392" s="11"/>
      <c r="L392" s="11"/>
      <c r="M392" s="11"/>
      <c r="N392" s="11"/>
      <c r="O392" s="11"/>
      <c r="P392" s="11"/>
      <c r="Q392" s="11"/>
      <c r="R392" s="11"/>
      <c r="S392" s="11"/>
      <c r="T392" s="11"/>
      <c r="U392" s="11"/>
      <c r="V392" s="1058"/>
      <c r="W392" t="s" s="1035">
        <v>916</v>
      </c>
      <c r="X392" s="1040"/>
      <c r="Y392" s="949"/>
      <c r="Z392" s="11"/>
      <c r="AA392" s="11"/>
      <c r="AB392" s="11"/>
      <c r="AC392" s="11"/>
      <c r="AD392" s="11"/>
    </row>
    <row r="393" ht="13.55" customHeight="1">
      <c r="A393" s="10"/>
      <c r="B393" s="11"/>
      <c r="C393" s="11"/>
      <c r="D393" s="11"/>
      <c r="E393" s="11"/>
      <c r="F393" s="11"/>
      <c r="G393" s="11"/>
      <c r="H393" s="11"/>
      <c r="I393" s="11"/>
      <c r="J393" s="11"/>
      <c r="K393" s="11"/>
      <c r="L393" s="11"/>
      <c r="M393" s="11"/>
      <c r="N393" s="11"/>
      <c r="O393" s="11"/>
      <c r="P393" s="11"/>
      <c r="Q393" s="11"/>
      <c r="R393" s="11"/>
      <c r="S393" s="11"/>
      <c r="T393" s="11"/>
      <c r="U393" s="11"/>
      <c r="V393" s="1058"/>
      <c r="W393" t="s" s="1035">
        <v>917</v>
      </c>
      <c r="X393" s="1040"/>
      <c r="Y393" s="949"/>
      <c r="Z393" s="11"/>
      <c r="AA393" s="11"/>
      <c r="AB393" s="11"/>
      <c r="AC393" s="11"/>
      <c r="AD393" s="11"/>
    </row>
    <row r="394" ht="13.55" customHeight="1">
      <c r="A394" s="10"/>
      <c r="B394" s="11"/>
      <c r="C394" s="11"/>
      <c r="D394" s="11"/>
      <c r="E394" s="11"/>
      <c r="F394" s="11"/>
      <c r="G394" s="11"/>
      <c r="H394" s="11"/>
      <c r="I394" s="11"/>
      <c r="J394" s="11"/>
      <c r="K394" s="11"/>
      <c r="L394" s="11"/>
      <c r="M394" s="11"/>
      <c r="N394" s="11"/>
      <c r="O394" s="11"/>
      <c r="P394" s="11"/>
      <c r="Q394" s="11"/>
      <c r="R394" s="11"/>
      <c r="S394" s="11"/>
      <c r="T394" s="11"/>
      <c r="U394" s="11"/>
      <c r="V394" s="1058"/>
      <c r="W394" t="s" s="1035">
        <v>918</v>
      </c>
      <c r="X394" s="1040"/>
      <c r="Y394" s="949"/>
      <c r="Z394" s="11"/>
      <c r="AA394" s="11"/>
      <c r="AB394" s="11"/>
      <c r="AC394" s="11"/>
      <c r="AD394" s="11"/>
    </row>
    <row r="395" ht="13.55" customHeight="1">
      <c r="A395" s="10"/>
      <c r="B395" s="11"/>
      <c r="C395" s="11"/>
      <c r="D395" s="11"/>
      <c r="E395" s="11"/>
      <c r="F395" s="11"/>
      <c r="G395" s="11"/>
      <c r="H395" s="11"/>
      <c r="I395" s="11"/>
      <c r="J395" s="11"/>
      <c r="K395" s="11"/>
      <c r="L395" s="11"/>
      <c r="M395" s="11"/>
      <c r="N395" s="11"/>
      <c r="O395" s="11"/>
      <c r="P395" s="11"/>
      <c r="Q395" s="11"/>
      <c r="R395" s="11"/>
      <c r="S395" s="11"/>
      <c r="T395" s="11"/>
      <c r="U395" s="11"/>
      <c r="V395" s="1058"/>
      <c r="W395" t="s" s="1035">
        <v>919</v>
      </c>
      <c r="X395" s="1040"/>
      <c r="Y395" s="949"/>
      <c r="Z395" s="11"/>
      <c r="AA395" s="11"/>
      <c r="AB395" s="11"/>
      <c r="AC395" s="11"/>
      <c r="AD395" s="11"/>
    </row>
    <row r="396" ht="13.55" customHeight="1">
      <c r="A396" s="10"/>
      <c r="B396" s="11"/>
      <c r="C396" s="11"/>
      <c r="D396" s="11"/>
      <c r="E396" s="11"/>
      <c r="F396" s="11"/>
      <c r="G396" s="11"/>
      <c r="H396" s="11"/>
      <c r="I396" s="11"/>
      <c r="J396" s="11"/>
      <c r="K396" s="11"/>
      <c r="L396" s="11"/>
      <c r="M396" s="11"/>
      <c r="N396" s="11"/>
      <c r="O396" s="11"/>
      <c r="P396" s="11"/>
      <c r="Q396" s="11"/>
      <c r="R396" s="11"/>
      <c r="S396" s="11"/>
      <c r="T396" s="11"/>
      <c r="U396" s="11"/>
      <c r="V396" s="1058"/>
      <c r="W396" t="s" s="1035">
        <v>920</v>
      </c>
      <c r="X396" s="1040"/>
      <c r="Y396" s="949"/>
      <c r="Z396" s="11"/>
      <c r="AA396" s="11"/>
      <c r="AB396" s="11"/>
      <c r="AC396" s="11"/>
      <c r="AD396" s="11"/>
    </row>
    <row r="397" ht="13.55" customHeight="1">
      <c r="A397" s="10"/>
      <c r="B397" s="11"/>
      <c r="C397" s="11"/>
      <c r="D397" s="11"/>
      <c r="E397" s="11"/>
      <c r="F397" s="11"/>
      <c r="G397" s="11"/>
      <c r="H397" s="11"/>
      <c r="I397" s="11"/>
      <c r="J397" s="11"/>
      <c r="K397" s="11"/>
      <c r="L397" s="11"/>
      <c r="M397" s="11"/>
      <c r="N397" s="11"/>
      <c r="O397" s="11"/>
      <c r="P397" s="11"/>
      <c r="Q397" s="11"/>
      <c r="R397" s="11"/>
      <c r="S397" s="11"/>
      <c r="T397" s="11"/>
      <c r="U397" s="11"/>
      <c r="V397" s="1058"/>
      <c r="W397" t="s" s="1035">
        <v>921</v>
      </c>
      <c r="X397" s="1040"/>
      <c r="Y397" s="949"/>
      <c r="Z397" s="11"/>
      <c r="AA397" s="11"/>
      <c r="AB397" s="11"/>
      <c r="AC397" s="11"/>
      <c r="AD397" s="11"/>
    </row>
    <row r="398" ht="13.55" customHeight="1">
      <c r="A398" s="10"/>
      <c r="B398" s="11"/>
      <c r="C398" s="11"/>
      <c r="D398" s="11"/>
      <c r="E398" s="11"/>
      <c r="F398" s="11"/>
      <c r="G398" s="11"/>
      <c r="H398" s="11"/>
      <c r="I398" s="11"/>
      <c r="J398" s="11"/>
      <c r="K398" s="11"/>
      <c r="L398" s="11"/>
      <c r="M398" s="11"/>
      <c r="N398" s="11"/>
      <c r="O398" s="11"/>
      <c r="P398" s="11"/>
      <c r="Q398" s="11"/>
      <c r="R398" s="11"/>
      <c r="S398" s="11"/>
      <c r="T398" s="11"/>
      <c r="U398" s="11"/>
      <c r="V398" s="1058"/>
      <c r="W398" t="s" s="1035">
        <v>922</v>
      </c>
      <c r="X398" s="1040"/>
      <c r="Y398" s="949"/>
      <c r="Z398" s="11"/>
      <c r="AA398" s="11"/>
      <c r="AB398" s="11"/>
      <c r="AC398" s="11"/>
      <c r="AD398" s="11"/>
    </row>
    <row r="399" ht="13.55" customHeight="1">
      <c r="A399" s="10"/>
      <c r="B399" s="11"/>
      <c r="C399" s="11"/>
      <c r="D399" s="11"/>
      <c r="E399" s="11"/>
      <c r="F399" s="11"/>
      <c r="G399" s="11"/>
      <c r="H399" s="11"/>
      <c r="I399" s="11"/>
      <c r="J399" s="11"/>
      <c r="K399" s="11"/>
      <c r="L399" s="11"/>
      <c r="M399" s="11"/>
      <c r="N399" s="11"/>
      <c r="O399" s="11"/>
      <c r="P399" s="11"/>
      <c r="Q399" s="11"/>
      <c r="R399" s="11"/>
      <c r="S399" s="11"/>
      <c r="T399" s="11"/>
      <c r="U399" s="11"/>
      <c r="V399" s="1058"/>
      <c r="W399" t="s" s="1035">
        <v>923</v>
      </c>
      <c r="X399" s="1040"/>
      <c r="Y399" s="949"/>
      <c r="Z399" s="11"/>
      <c r="AA399" s="11"/>
      <c r="AB399" s="11"/>
      <c r="AC399" s="11"/>
      <c r="AD399" s="11"/>
    </row>
    <row r="400" ht="13.55" customHeight="1">
      <c r="A400" s="10"/>
      <c r="B400" s="11"/>
      <c r="C400" s="11"/>
      <c r="D400" s="11"/>
      <c r="E400" s="11"/>
      <c r="F400" s="11"/>
      <c r="G400" s="11"/>
      <c r="H400" s="11"/>
      <c r="I400" s="11"/>
      <c r="J400" s="11"/>
      <c r="K400" s="11"/>
      <c r="L400" s="11"/>
      <c r="M400" s="11"/>
      <c r="N400" s="11"/>
      <c r="O400" s="11"/>
      <c r="P400" s="11"/>
      <c r="Q400" s="11"/>
      <c r="R400" s="11"/>
      <c r="S400" s="11"/>
      <c r="T400" s="11"/>
      <c r="U400" s="11"/>
      <c r="V400" s="1058"/>
      <c r="W400" t="s" s="1035">
        <v>924</v>
      </c>
      <c r="X400" s="1040"/>
      <c r="Y400" s="949"/>
      <c r="Z400" s="11"/>
      <c r="AA400" s="11"/>
      <c r="AB400" s="11"/>
      <c r="AC400" s="11"/>
      <c r="AD400" s="11"/>
    </row>
    <row r="401" ht="13.55" customHeight="1">
      <c r="A401" s="10"/>
      <c r="B401" s="11"/>
      <c r="C401" s="11"/>
      <c r="D401" s="11"/>
      <c r="E401" s="11"/>
      <c r="F401" s="11"/>
      <c r="G401" s="11"/>
      <c r="H401" s="11"/>
      <c r="I401" s="11"/>
      <c r="J401" s="11"/>
      <c r="K401" s="11"/>
      <c r="L401" s="11"/>
      <c r="M401" s="11"/>
      <c r="N401" s="11"/>
      <c r="O401" s="11"/>
      <c r="P401" s="11"/>
      <c r="Q401" s="11"/>
      <c r="R401" s="11"/>
      <c r="S401" s="11"/>
      <c r="T401" s="11"/>
      <c r="U401" s="11"/>
      <c r="V401" s="1058"/>
      <c r="W401" t="s" s="1035">
        <v>925</v>
      </c>
      <c r="X401" s="1040"/>
      <c r="Y401" s="949"/>
      <c r="Z401" s="11"/>
      <c r="AA401" s="11"/>
      <c r="AB401" s="11"/>
      <c r="AC401" s="11"/>
      <c r="AD401" s="11"/>
    </row>
    <row r="402" ht="13.55" customHeight="1">
      <c r="A402" s="10"/>
      <c r="B402" s="11"/>
      <c r="C402" s="11"/>
      <c r="D402" s="11"/>
      <c r="E402" s="11"/>
      <c r="F402" s="11"/>
      <c r="G402" s="11"/>
      <c r="H402" s="11"/>
      <c r="I402" s="11"/>
      <c r="J402" s="11"/>
      <c r="K402" s="11"/>
      <c r="L402" s="11"/>
      <c r="M402" s="11"/>
      <c r="N402" s="11"/>
      <c r="O402" s="11"/>
      <c r="P402" s="11"/>
      <c r="Q402" s="11"/>
      <c r="R402" s="11"/>
      <c r="S402" s="11"/>
      <c r="T402" s="11"/>
      <c r="U402" s="11"/>
      <c r="V402" s="1058"/>
      <c r="W402" t="s" s="1035">
        <v>926</v>
      </c>
      <c r="X402" s="1040"/>
      <c r="Y402" s="949"/>
      <c r="Z402" s="11"/>
      <c r="AA402" s="11"/>
      <c r="AB402" s="11"/>
      <c r="AC402" s="11"/>
      <c r="AD402" s="11"/>
    </row>
    <row r="403" ht="13.55" customHeight="1">
      <c r="A403" s="10"/>
      <c r="B403" s="11"/>
      <c r="C403" s="11"/>
      <c r="D403" s="11"/>
      <c r="E403" s="11"/>
      <c r="F403" s="11"/>
      <c r="G403" s="11"/>
      <c r="H403" s="11"/>
      <c r="I403" s="11"/>
      <c r="J403" s="11"/>
      <c r="K403" s="11"/>
      <c r="L403" s="11"/>
      <c r="M403" s="11"/>
      <c r="N403" s="11"/>
      <c r="O403" s="11"/>
      <c r="P403" s="11"/>
      <c r="Q403" s="11"/>
      <c r="R403" s="11"/>
      <c r="S403" s="11"/>
      <c r="T403" s="11"/>
      <c r="U403" s="11"/>
      <c r="V403" s="1058"/>
      <c r="W403" t="s" s="1035">
        <v>927</v>
      </c>
      <c r="X403" s="1040"/>
      <c r="Y403" s="949"/>
      <c r="Z403" s="11"/>
      <c r="AA403" s="11"/>
      <c r="AB403" s="11"/>
      <c r="AC403" s="11"/>
      <c r="AD403" s="11"/>
    </row>
    <row r="404" ht="13.55" customHeight="1">
      <c r="A404" s="10"/>
      <c r="B404" s="11"/>
      <c r="C404" s="11"/>
      <c r="D404" s="11"/>
      <c r="E404" s="11"/>
      <c r="F404" s="11"/>
      <c r="G404" s="11"/>
      <c r="H404" s="11"/>
      <c r="I404" s="11"/>
      <c r="J404" s="11"/>
      <c r="K404" s="11"/>
      <c r="L404" s="11"/>
      <c r="M404" s="11"/>
      <c r="N404" s="11"/>
      <c r="O404" s="11"/>
      <c r="P404" s="11"/>
      <c r="Q404" s="11"/>
      <c r="R404" s="11"/>
      <c r="S404" s="11"/>
      <c r="T404" s="11"/>
      <c r="U404" s="11"/>
      <c r="V404" s="1058"/>
      <c r="W404" t="s" s="1035">
        <v>928</v>
      </c>
      <c r="X404" s="1040"/>
      <c r="Y404" s="949"/>
      <c r="Z404" s="11"/>
      <c r="AA404" s="11"/>
      <c r="AB404" s="11"/>
      <c r="AC404" s="11"/>
      <c r="AD404" s="11"/>
    </row>
    <row r="405" ht="13.55" customHeight="1">
      <c r="A405" s="10"/>
      <c r="B405" s="11"/>
      <c r="C405" s="11"/>
      <c r="D405" s="11"/>
      <c r="E405" s="11"/>
      <c r="F405" s="11"/>
      <c r="G405" s="11"/>
      <c r="H405" s="11"/>
      <c r="I405" s="11"/>
      <c r="J405" s="11"/>
      <c r="K405" s="11"/>
      <c r="L405" s="11"/>
      <c r="M405" s="11"/>
      <c r="N405" s="11"/>
      <c r="O405" s="11"/>
      <c r="P405" s="11"/>
      <c r="Q405" s="11"/>
      <c r="R405" s="11"/>
      <c r="S405" s="11"/>
      <c r="T405" s="11"/>
      <c r="U405" s="11"/>
      <c r="V405" s="1058"/>
      <c r="W405" t="s" s="1035">
        <v>929</v>
      </c>
      <c r="X405" s="1040"/>
      <c r="Y405" s="949"/>
      <c r="Z405" s="11"/>
      <c r="AA405" s="11"/>
      <c r="AB405" s="11"/>
      <c r="AC405" s="11"/>
      <c r="AD405" s="11"/>
    </row>
    <row r="406" ht="13.55" customHeight="1">
      <c r="A406" s="10"/>
      <c r="B406" s="11"/>
      <c r="C406" s="11"/>
      <c r="D406" s="11"/>
      <c r="E406" s="11"/>
      <c r="F406" s="11"/>
      <c r="G406" s="11"/>
      <c r="H406" s="11"/>
      <c r="I406" s="11"/>
      <c r="J406" s="11"/>
      <c r="K406" s="11"/>
      <c r="L406" s="11"/>
      <c r="M406" s="11"/>
      <c r="N406" s="11"/>
      <c r="O406" s="11"/>
      <c r="P406" s="11"/>
      <c r="Q406" s="11"/>
      <c r="R406" s="11"/>
      <c r="S406" s="11"/>
      <c r="T406" s="11"/>
      <c r="U406" s="11"/>
      <c r="V406" s="1058"/>
      <c r="W406" t="s" s="1035">
        <v>930</v>
      </c>
      <c r="X406" s="1040"/>
      <c r="Y406" s="949"/>
      <c r="Z406" s="11"/>
      <c r="AA406" s="11"/>
      <c r="AB406" s="11"/>
      <c r="AC406" s="11"/>
      <c r="AD406" s="11"/>
    </row>
    <row r="407" ht="13.55" customHeight="1">
      <c r="A407" s="10"/>
      <c r="B407" s="11"/>
      <c r="C407" s="11"/>
      <c r="D407" s="11"/>
      <c r="E407" s="11"/>
      <c r="F407" s="11"/>
      <c r="G407" s="11"/>
      <c r="H407" s="11"/>
      <c r="I407" s="11"/>
      <c r="J407" s="11"/>
      <c r="K407" s="11"/>
      <c r="L407" s="11"/>
      <c r="M407" s="11"/>
      <c r="N407" s="11"/>
      <c r="O407" s="11"/>
      <c r="P407" s="11"/>
      <c r="Q407" s="11"/>
      <c r="R407" s="11"/>
      <c r="S407" s="11"/>
      <c r="T407" s="11"/>
      <c r="U407" s="11"/>
      <c r="V407" s="1058"/>
      <c r="W407" t="s" s="1035">
        <v>931</v>
      </c>
      <c r="X407" s="1040"/>
      <c r="Y407" s="949"/>
      <c r="Z407" s="11"/>
      <c r="AA407" s="11"/>
      <c r="AB407" s="11"/>
      <c r="AC407" s="11"/>
      <c r="AD407" s="11"/>
    </row>
    <row r="408" ht="13.55" customHeight="1">
      <c r="A408" s="10"/>
      <c r="B408" s="11"/>
      <c r="C408" s="11"/>
      <c r="D408" s="11"/>
      <c r="E408" s="11"/>
      <c r="F408" s="11"/>
      <c r="G408" s="11"/>
      <c r="H408" s="11"/>
      <c r="I408" s="11"/>
      <c r="J408" s="11"/>
      <c r="K408" s="11"/>
      <c r="L408" s="11"/>
      <c r="M408" s="11"/>
      <c r="N408" s="11"/>
      <c r="O408" s="11"/>
      <c r="P408" s="11"/>
      <c r="Q408" s="11"/>
      <c r="R408" s="11"/>
      <c r="S408" s="11"/>
      <c r="T408" s="11"/>
      <c r="U408" s="11"/>
      <c r="V408" s="1058"/>
      <c r="W408" t="s" s="1035">
        <v>932</v>
      </c>
      <c r="X408" s="1040"/>
      <c r="Y408" s="949"/>
      <c r="Z408" s="11"/>
      <c r="AA408" s="11"/>
      <c r="AB408" s="11"/>
      <c r="AC408" s="11"/>
      <c r="AD408" s="11"/>
    </row>
    <row r="409" ht="13.55" customHeight="1">
      <c r="A409" s="10"/>
      <c r="B409" s="11"/>
      <c r="C409" s="11"/>
      <c r="D409" s="11"/>
      <c r="E409" s="11"/>
      <c r="F409" s="11"/>
      <c r="G409" s="11"/>
      <c r="H409" s="11"/>
      <c r="I409" s="11"/>
      <c r="J409" s="11"/>
      <c r="K409" s="11"/>
      <c r="L409" s="11"/>
      <c r="M409" s="11"/>
      <c r="N409" s="11"/>
      <c r="O409" s="11"/>
      <c r="P409" s="11"/>
      <c r="Q409" s="11"/>
      <c r="R409" s="11"/>
      <c r="S409" s="11"/>
      <c r="T409" s="11"/>
      <c r="U409" s="11"/>
      <c r="V409" s="1058"/>
      <c r="W409" t="s" s="1035">
        <v>933</v>
      </c>
      <c r="X409" s="1040"/>
      <c r="Y409" s="949"/>
      <c r="Z409" s="11"/>
      <c r="AA409" s="11"/>
      <c r="AB409" s="11"/>
      <c r="AC409" s="11"/>
      <c r="AD409" s="11"/>
    </row>
    <row r="410" ht="13.55" customHeight="1">
      <c r="A410" s="10"/>
      <c r="B410" s="11"/>
      <c r="C410" s="11"/>
      <c r="D410" s="11"/>
      <c r="E410" s="11"/>
      <c r="F410" s="11"/>
      <c r="G410" s="11"/>
      <c r="H410" s="11"/>
      <c r="I410" s="11"/>
      <c r="J410" s="11"/>
      <c r="K410" s="11"/>
      <c r="L410" s="11"/>
      <c r="M410" s="11"/>
      <c r="N410" s="11"/>
      <c r="O410" s="11"/>
      <c r="P410" s="11"/>
      <c r="Q410" s="11"/>
      <c r="R410" s="11"/>
      <c r="S410" s="11"/>
      <c r="T410" s="11"/>
      <c r="U410" s="11"/>
      <c r="V410" s="1058"/>
      <c r="W410" t="s" s="1035">
        <v>934</v>
      </c>
      <c r="X410" s="1040"/>
      <c r="Y410" s="949"/>
      <c r="Z410" s="11"/>
      <c r="AA410" s="11"/>
      <c r="AB410" s="11"/>
      <c r="AC410" s="11"/>
      <c r="AD410" s="11"/>
    </row>
    <row r="411" ht="13.55" customHeight="1">
      <c r="A411" s="10"/>
      <c r="B411" s="11"/>
      <c r="C411" s="11"/>
      <c r="D411" s="11"/>
      <c r="E411" s="11"/>
      <c r="F411" s="11"/>
      <c r="G411" s="11"/>
      <c r="H411" s="11"/>
      <c r="I411" s="11"/>
      <c r="J411" s="11"/>
      <c r="K411" s="11"/>
      <c r="L411" s="11"/>
      <c r="M411" s="11"/>
      <c r="N411" s="11"/>
      <c r="O411" s="11"/>
      <c r="P411" s="11"/>
      <c r="Q411" s="11"/>
      <c r="R411" s="11"/>
      <c r="S411" s="11"/>
      <c r="T411" s="11"/>
      <c r="U411" s="11"/>
      <c r="V411" s="1058"/>
      <c r="W411" t="s" s="1035">
        <v>935</v>
      </c>
      <c r="X411" s="1040"/>
      <c r="Y411" s="949"/>
      <c r="Z411" s="11"/>
      <c r="AA411" s="11"/>
      <c r="AB411" s="11"/>
      <c r="AC411" s="11"/>
      <c r="AD411" s="11"/>
    </row>
    <row r="412" ht="13.55" customHeight="1">
      <c r="A412" s="195"/>
      <c r="B412" s="196"/>
      <c r="C412" s="196"/>
      <c r="D412" s="196"/>
      <c r="E412" s="196"/>
      <c r="F412" s="196"/>
      <c r="G412" s="196"/>
      <c r="H412" s="196"/>
      <c r="I412" s="196"/>
      <c r="J412" s="196"/>
      <c r="K412" s="196"/>
      <c r="L412" s="196"/>
      <c r="M412" s="196"/>
      <c r="N412" s="196"/>
      <c r="O412" s="196"/>
      <c r="P412" s="196"/>
      <c r="Q412" s="196"/>
      <c r="R412" s="196"/>
      <c r="S412" s="196"/>
      <c r="T412" s="196"/>
      <c r="U412" s="196"/>
      <c r="V412" s="1071"/>
      <c r="W412" t="s" s="1035">
        <v>936</v>
      </c>
      <c r="X412" s="1040"/>
      <c r="Y412" s="1072"/>
      <c r="Z412" s="196"/>
      <c r="AA412" s="196"/>
      <c r="AB412" s="196"/>
      <c r="AC412" s="196"/>
      <c r="AD412" s="196"/>
    </row>
  </sheetData>
  <mergeCells count="10">
    <mergeCell ref="J33:K33"/>
    <mergeCell ref="B34:D34"/>
    <mergeCell ref="F34:H34"/>
    <mergeCell ref="M34:N34"/>
    <mergeCell ref="Q34:T34"/>
    <mergeCell ref="B45:D45"/>
    <mergeCell ref="F45:G45"/>
    <mergeCell ref="I45:K45"/>
    <mergeCell ref="M45:P45"/>
    <mergeCell ref="S45:U45"/>
  </mergeCells>
  <pageMargins left="0.7" right="0.7" top="0.42" bottom="0.44" header="0.3" footer="0.3"/>
  <pageSetup firstPageNumber="1" fitToHeight="1" fitToWidth="1" scale="100" useFirstPageNumber="0" orientation="landscape" pageOrder="downThenOver"/>
  <headerFooter>
    <oddFooter>&amp;C&amp;"Helvetica Neue,Regular"&amp;12&amp;K000000&amp;P</oddFooter>
  </headerFooter>
</worksheet>
</file>

<file path=xl/worksheets/sheet13.xml><?xml version="1.0" encoding="utf-8"?>
<worksheet xmlns:r="http://schemas.openxmlformats.org/officeDocument/2006/relationships" xmlns="http://schemas.openxmlformats.org/spreadsheetml/2006/main">
  <dimension ref="A1:E10"/>
  <sheetViews>
    <sheetView workbookViewId="0" showGridLines="0" defaultGridColor="1"/>
  </sheetViews>
  <sheetFormatPr defaultColWidth="9.16667" defaultRowHeight="15" customHeight="1" outlineLevelRow="0" outlineLevelCol="0"/>
  <cols>
    <col min="1" max="2" width="9.17188" style="1073" customWidth="1"/>
    <col min="3" max="3" width="34.1719" style="1073" customWidth="1"/>
    <col min="4" max="4" width="45.5" style="1073" customWidth="1"/>
    <col min="5" max="5" width="38.6719" style="1073" customWidth="1"/>
    <col min="6" max="16384" width="9.17188" style="1073" customWidth="1"/>
  </cols>
  <sheetData>
    <row r="1" ht="13.55" customHeight="1">
      <c r="A1" s="7"/>
      <c r="B1" s="8"/>
      <c r="C1" s="8"/>
      <c r="D1" s="8"/>
      <c r="E1" s="75"/>
    </row>
    <row r="2" ht="15" customHeight="1">
      <c r="A2" s="10"/>
      <c r="B2" s="11"/>
      <c r="C2" s="26"/>
      <c r="D2" s="26"/>
      <c r="E2" s="1074"/>
    </row>
    <row r="3" ht="14.05" customHeight="1">
      <c r="A3" s="10"/>
      <c r="B3" s="228"/>
      <c r="C3" t="s" s="466">
        <v>938</v>
      </c>
      <c r="D3" s="1075"/>
      <c r="E3" s="467"/>
    </row>
    <row r="4" ht="13.55" customHeight="1">
      <c r="A4" s="10"/>
      <c r="B4" s="228"/>
      <c r="C4" t="s" s="267">
        <v>939</v>
      </c>
      <c r="D4" t="s" s="270">
        <v>940</v>
      </c>
      <c r="E4" t="s" s="269">
        <v>941</v>
      </c>
    </row>
    <row r="5" ht="13.55" customHeight="1">
      <c r="A5" s="10"/>
      <c r="B5" s="228"/>
      <c r="C5" t="s" s="297">
        <v>942</v>
      </c>
      <c r="D5" t="s" s="956">
        <v>943</v>
      </c>
      <c r="E5" t="s" s="404">
        <v>944</v>
      </c>
    </row>
    <row r="6" ht="29.1" customHeight="1">
      <c r="A6" s="10"/>
      <c r="B6" s="228"/>
      <c r="C6" t="s" s="297">
        <v>945</v>
      </c>
      <c r="D6" t="s" s="960">
        <v>946</v>
      </c>
      <c r="E6" t="s" s="404">
        <v>947</v>
      </c>
    </row>
    <row r="7" ht="29.1" customHeight="1">
      <c r="A7" s="10"/>
      <c r="B7" s="228"/>
      <c r="C7" t="s" s="297">
        <v>948</v>
      </c>
      <c r="D7" t="s" s="960">
        <v>949</v>
      </c>
      <c r="E7" t="s" s="404">
        <v>950</v>
      </c>
    </row>
    <row r="8" ht="102" customHeight="1">
      <c r="A8" s="10"/>
      <c r="B8" s="228"/>
      <c r="C8" t="s" s="297">
        <v>951</v>
      </c>
      <c r="D8" t="s" s="960">
        <v>952</v>
      </c>
      <c r="E8" t="s" s="404">
        <v>953</v>
      </c>
    </row>
    <row r="9" ht="29.45" customHeight="1">
      <c r="A9" s="10"/>
      <c r="B9" s="228"/>
      <c r="C9" t="s" s="1076">
        <v>954</v>
      </c>
      <c r="D9" t="s" s="964">
        <v>955</v>
      </c>
      <c r="E9" t="s" s="1077">
        <v>956</v>
      </c>
    </row>
    <row r="10" ht="14.05" customHeight="1">
      <c r="A10" s="195"/>
      <c r="B10" s="196"/>
      <c r="C10" s="1078"/>
      <c r="D10" s="1078"/>
      <c r="E10" s="1079"/>
    </row>
  </sheetData>
  <mergeCells count="1">
    <mergeCell ref="C3:E3"/>
  </mergeCells>
  <pageMargins left="0.7" right="0.7" top="0.75" bottom="0.75" header="0.3" footer="0.3"/>
  <pageSetup firstPageNumber="1" fitToHeight="1" fitToWidth="1" scale="62" useFirstPageNumber="0" orientation="portrait" pageOrder="downThenOver"/>
  <headerFooter>
    <oddFooter>&amp;C&amp;"Helvetica Neue,Regular"&amp;12&amp;K000000&amp;P</oddFooter>
  </headerFooter>
</worksheet>
</file>

<file path=xl/worksheets/sheet14.xml><?xml version="1.0" encoding="utf-8"?>
<worksheet xmlns:r="http://schemas.openxmlformats.org/officeDocument/2006/relationships" xmlns="http://schemas.openxmlformats.org/spreadsheetml/2006/main">
  <dimension ref="A1:H158"/>
  <sheetViews>
    <sheetView workbookViewId="0" showGridLines="0" defaultGridColor="1"/>
  </sheetViews>
  <sheetFormatPr defaultColWidth="8.83333" defaultRowHeight="15" customHeight="1" outlineLevelRow="0" outlineLevelCol="0"/>
  <cols>
    <col min="1" max="1" width="3.35156" style="1080" customWidth="1"/>
    <col min="2" max="2" width="24.5" style="1080" customWidth="1"/>
    <col min="3" max="3" width="34.1719" style="1080" customWidth="1"/>
    <col min="4" max="4" width="41.8516" style="1080" customWidth="1"/>
    <col min="5" max="5" width="50.1719" style="1080" customWidth="1"/>
    <col min="6" max="6" width="20.5" style="1080" customWidth="1"/>
    <col min="7" max="8" width="8.85156" style="1080" customWidth="1"/>
    <col min="9" max="16384" width="8.85156" style="1080" customWidth="1"/>
  </cols>
  <sheetData>
    <row r="1" ht="15" customHeight="1">
      <c r="A1" s="1081"/>
      <c r="B1" s="1082"/>
      <c r="C1" s="1082"/>
      <c r="D1" s="1082"/>
      <c r="E1" s="1082"/>
      <c r="F1" s="1082"/>
      <c r="G1" s="1083"/>
      <c r="H1" s="1084"/>
    </row>
    <row r="2" ht="19.35" customHeight="1">
      <c r="A2" s="27"/>
      <c r="B2" t="s" s="1085">
        <v>958</v>
      </c>
      <c r="C2" t="s" s="1086">
        <v>959</v>
      </c>
      <c r="D2" t="s" s="1086">
        <v>960</v>
      </c>
      <c r="E2" t="s" s="1087">
        <v>961</v>
      </c>
      <c r="F2" t="s" s="1088">
        <v>129</v>
      </c>
      <c r="G2" s="1089"/>
      <c r="H2" s="1090"/>
    </row>
    <row r="3" ht="21.75" customHeight="1">
      <c r="A3" s="27"/>
      <c r="B3" t="s" s="1091">
        <v>962</v>
      </c>
      <c r="C3" t="s" s="1092">
        <v>963</v>
      </c>
      <c r="D3" t="s" s="1092">
        <v>964</v>
      </c>
      <c r="E3" t="s" s="1093">
        <v>965</v>
      </c>
      <c r="F3" t="s" s="1094">
        <v>151</v>
      </c>
      <c r="G3" s="33"/>
      <c r="H3" s="80"/>
    </row>
    <row r="4" ht="14.05" customHeight="1">
      <c r="A4" s="27"/>
      <c r="B4" t="s" s="273">
        <v>277</v>
      </c>
      <c r="C4" t="s" s="966">
        <v>277</v>
      </c>
      <c r="D4" t="s" s="966">
        <v>966</v>
      </c>
      <c r="E4" t="s" s="274">
        <v>382</v>
      </c>
      <c r="F4" t="s" s="1095">
        <v>181</v>
      </c>
      <c r="G4" s="33"/>
      <c r="H4" s="80"/>
    </row>
    <row r="5" ht="13.55" customHeight="1">
      <c r="A5" s="27"/>
      <c r="B5" s="308"/>
      <c r="C5" s="958"/>
      <c r="D5" t="s" s="956">
        <v>967</v>
      </c>
      <c r="E5" t="s" s="960">
        <v>968</v>
      </c>
      <c r="F5" t="s" s="1096">
        <v>181</v>
      </c>
      <c r="G5" s="33"/>
      <c r="H5" s="80"/>
    </row>
    <row r="6" ht="13.55" customHeight="1">
      <c r="A6" s="27"/>
      <c r="B6" s="308"/>
      <c r="C6" s="958"/>
      <c r="D6" t="s" s="956">
        <v>969</v>
      </c>
      <c r="E6" t="s" s="960">
        <v>387</v>
      </c>
      <c r="F6" t="s" s="1096">
        <v>181</v>
      </c>
      <c r="G6" s="33"/>
      <c r="H6" s="80"/>
    </row>
    <row r="7" ht="13.55" customHeight="1">
      <c r="A7" s="27"/>
      <c r="B7" s="308"/>
      <c r="C7" s="958"/>
      <c r="D7" t="s" s="956">
        <v>970</v>
      </c>
      <c r="E7" t="s" s="960">
        <v>388</v>
      </c>
      <c r="F7" t="s" s="1096">
        <v>181</v>
      </c>
      <c r="G7" s="33"/>
      <c r="H7" s="80"/>
    </row>
    <row r="8" ht="13.55" customHeight="1">
      <c r="A8" s="27"/>
      <c r="B8" s="308"/>
      <c r="C8" t="s" s="956">
        <v>971</v>
      </c>
      <c r="D8" t="s" s="956">
        <v>972</v>
      </c>
      <c r="E8" t="s" s="960">
        <v>377</v>
      </c>
      <c r="F8" t="s" s="1097">
        <v>151</v>
      </c>
      <c r="G8" s="33"/>
      <c r="H8" s="80"/>
    </row>
    <row r="9" ht="13.55" customHeight="1">
      <c r="A9" s="27"/>
      <c r="B9" s="308"/>
      <c r="C9" s="958"/>
      <c r="D9" t="s" s="956">
        <v>973</v>
      </c>
      <c r="E9" t="s" s="960">
        <v>379</v>
      </c>
      <c r="F9" t="s" s="1097">
        <v>151</v>
      </c>
      <c r="G9" s="33"/>
      <c r="H9" s="80"/>
    </row>
    <row r="10" ht="13.55" customHeight="1">
      <c r="A10" s="27"/>
      <c r="B10" s="308"/>
      <c r="C10" s="958"/>
      <c r="D10" t="s" s="956">
        <v>974</v>
      </c>
      <c r="E10" t="s" s="960">
        <v>975</v>
      </c>
      <c r="F10" t="s" s="1097">
        <v>151</v>
      </c>
      <c r="G10" s="33"/>
      <c r="H10" s="80"/>
    </row>
    <row r="11" ht="13.55" customHeight="1">
      <c r="A11" s="27"/>
      <c r="B11" s="308"/>
      <c r="C11" s="958"/>
      <c r="D11" t="s" s="956">
        <v>976</v>
      </c>
      <c r="E11" t="s" s="960">
        <v>381</v>
      </c>
      <c r="F11" t="s" s="1097">
        <v>151</v>
      </c>
      <c r="G11" s="33"/>
      <c r="H11" s="80"/>
    </row>
    <row r="12" ht="13.55" customHeight="1">
      <c r="A12" s="27"/>
      <c r="B12" s="308"/>
      <c r="C12" s="958"/>
      <c r="D12" t="s" s="956">
        <v>977</v>
      </c>
      <c r="E12" t="s" s="960">
        <v>978</v>
      </c>
      <c r="F12" t="s" s="1097">
        <v>151</v>
      </c>
      <c r="G12" s="33"/>
      <c r="H12" s="80"/>
    </row>
    <row r="13" ht="13.55" customHeight="1">
      <c r="A13" s="27"/>
      <c r="B13" s="308"/>
      <c r="C13" t="s" s="956">
        <v>385</v>
      </c>
      <c r="D13" t="s" s="956">
        <v>979</v>
      </c>
      <c r="E13" t="s" s="960">
        <v>385</v>
      </c>
      <c r="F13" t="s" s="1096">
        <v>181</v>
      </c>
      <c r="G13" s="33"/>
      <c r="H13" s="80"/>
    </row>
    <row r="14" ht="15" customHeight="1">
      <c r="A14" s="27"/>
      <c r="B14" s="316"/>
      <c r="C14" t="s" s="962">
        <v>980</v>
      </c>
      <c r="D14" t="s" s="962">
        <v>981</v>
      </c>
      <c r="E14" t="s" s="964">
        <v>386</v>
      </c>
      <c r="F14" t="s" s="1098">
        <v>181</v>
      </c>
      <c r="G14" s="33"/>
      <c r="H14" s="80"/>
    </row>
    <row r="15" ht="14.05" customHeight="1">
      <c r="A15" s="27"/>
      <c r="B15" t="s" s="273">
        <v>982</v>
      </c>
      <c r="C15" t="s" s="966">
        <v>983</v>
      </c>
      <c r="D15" t="s" s="966">
        <v>984</v>
      </c>
      <c r="E15" t="s" s="274">
        <v>390</v>
      </c>
      <c r="F15" t="s" s="1095">
        <v>181</v>
      </c>
      <c r="G15" s="33"/>
      <c r="H15" s="80"/>
    </row>
    <row r="16" ht="13.55" customHeight="1">
      <c r="A16" s="27"/>
      <c r="B16" s="308"/>
      <c r="C16" t="s" s="956">
        <v>389</v>
      </c>
      <c r="D16" t="s" s="956">
        <v>985</v>
      </c>
      <c r="E16" t="s" s="960">
        <v>389</v>
      </c>
      <c r="F16" t="s" s="1096">
        <v>181</v>
      </c>
      <c r="G16" s="33"/>
      <c r="H16" s="80"/>
    </row>
    <row r="17" ht="13.55" customHeight="1">
      <c r="A17" s="27"/>
      <c r="B17" s="308"/>
      <c r="C17" t="s" s="956">
        <v>986</v>
      </c>
      <c r="D17" t="s" s="956">
        <v>987</v>
      </c>
      <c r="E17" t="s" s="960">
        <v>391</v>
      </c>
      <c r="F17" t="s" s="1097">
        <v>151</v>
      </c>
      <c r="G17" s="33"/>
      <c r="H17" s="80"/>
    </row>
    <row r="18" ht="13.55" customHeight="1">
      <c r="A18" s="27"/>
      <c r="B18" s="308"/>
      <c r="C18" s="958"/>
      <c r="D18" t="s" s="956">
        <v>988</v>
      </c>
      <c r="E18" t="s" s="960">
        <v>392</v>
      </c>
      <c r="F18" t="s" s="1097">
        <v>151</v>
      </c>
      <c r="G18" s="33"/>
      <c r="H18" s="80"/>
    </row>
    <row r="19" ht="15" customHeight="1">
      <c r="A19" s="27"/>
      <c r="B19" s="316"/>
      <c r="C19" s="186"/>
      <c r="D19" t="s" s="962">
        <v>989</v>
      </c>
      <c r="E19" t="s" s="964">
        <v>393</v>
      </c>
      <c r="F19" t="s" s="1099">
        <v>151</v>
      </c>
      <c r="G19" s="33"/>
      <c r="H19" s="80"/>
    </row>
    <row r="20" ht="14.05" customHeight="1">
      <c r="A20" s="27"/>
      <c r="B20" t="s" s="273">
        <v>280</v>
      </c>
      <c r="C20" t="s" s="966">
        <v>990</v>
      </c>
      <c r="D20" t="s" s="966">
        <v>991</v>
      </c>
      <c r="E20" t="s" s="274">
        <v>400</v>
      </c>
      <c r="F20" t="s" s="1095">
        <v>181</v>
      </c>
      <c r="G20" s="33"/>
      <c r="H20" s="80"/>
    </row>
    <row r="21" ht="13.55" customHeight="1">
      <c r="A21" s="27"/>
      <c r="B21" s="308"/>
      <c r="C21" t="s" s="956">
        <v>992</v>
      </c>
      <c r="D21" t="s" s="956">
        <v>993</v>
      </c>
      <c r="E21" t="s" s="960">
        <v>394</v>
      </c>
      <c r="F21" t="s" s="1097">
        <v>151</v>
      </c>
      <c r="G21" s="33"/>
      <c r="H21" s="80"/>
    </row>
    <row r="22" ht="13.55" customHeight="1">
      <c r="A22" s="27"/>
      <c r="B22" s="308"/>
      <c r="C22" s="958"/>
      <c r="D22" t="s" s="956">
        <v>994</v>
      </c>
      <c r="E22" t="s" s="960">
        <v>395</v>
      </c>
      <c r="F22" t="s" s="1097">
        <v>151</v>
      </c>
      <c r="G22" s="33"/>
      <c r="H22" s="80"/>
    </row>
    <row r="23" ht="13.55" customHeight="1">
      <c r="A23" s="27"/>
      <c r="B23" s="308"/>
      <c r="C23" s="958"/>
      <c r="D23" t="s" s="956">
        <v>995</v>
      </c>
      <c r="E23" t="s" s="960">
        <v>396</v>
      </c>
      <c r="F23" t="s" s="1097">
        <v>151</v>
      </c>
      <c r="G23" s="33"/>
      <c r="H23" s="80"/>
    </row>
    <row r="24" ht="13.55" customHeight="1">
      <c r="A24" s="27"/>
      <c r="B24" s="308"/>
      <c r="C24" s="958"/>
      <c r="D24" t="s" s="956">
        <v>996</v>
      </c>
      <c r="E24" t="s" s="960">
        <v>397</v>
      </c>
      <c r="F24" t="s" s="1097">
        <v>151</v>
      </c>
      <c r="G24" s="33"/>
      <c r="H24" s="80"/>
    </row>
    <row r="25" ht="13.55" customHeight="1">
      <c r="A25" s="27"/>
      <c r="B25" s="308"/>
      <c r="C25" s="958"/>
      <c r="D25" t="s" s="956">
        <v>997</v>
      </c>
      <c r="E25" t="s" s="960">
        <v>398</v>
      </c>
      <c r="F25" t="s" s="1097">
        <v>151</v>
      </c>
      <c r="G25" s="33"/>
      <c r="H25" s="80"/>
    </row>
    <row r="26" ht="13.55" customHeight="1">
      <c r="A26" s="27"/>
      <c r="B26" s="308"/>
      <c r="C26" s="958"/>
      <c r="D26" t="s" s="956">
        <v>998</v>
      </c>
      <c r="E26" t="s" s="960">
        <v>399</v>
      </c>
      <c r="F26" t="s" s="1097">
        <v>151</v>
      </c>
      <c r="G26" s="33"/>
      <c r="H26" s="80"/>
    </row>
    <row r="27" ht="15" customHeight="1">
      <c r="A27" s="27"/>
      <c r="B27" s="316"/>
      <c r="C27" s="186"/>
      <c r="D27" t="s" s="962">
        <v>999</v>
      </c>
      <c r="E27" t="s" s="964">
        <v>1000</v>
      </c>
      <c r="F27" t="s" s="1099">
        <v>151</v>
      </c>
      <c r="G27" s="33"/>
      <c r="H27" s="80"/>
    </row>
    <row r="28" ht="14.05" customHeight="1">
      <c r="A28" s="27"/>
      <c r="B28" t="s" s="273">
        <v>1001</v>
      </c>
      <c r="C28" t="s" s="966">
        <v>1002</v>
      </c>
      <c r="D28" t="s" s="966">
        <v>1003</v>
      </c>
      <c r="E28" t="s" s="274">
        <v>1004</v>
      </c>
      <c r="F28" t="s" s="1095">
        <v>181</v>
      </c>
      <c r="G28" s="33"/>
      <c r="H28" s="80"/>
    </row>
    <row r="29" ht="13.55" customHeight="1">
      <c r="A29" s="27"/>
      <c r="B29" s="308"/>
      <c r="C29" s="958"/>
      <c r="D29" t="s" s="956">
        <v>1005</v>
      </c>
      <c r="E29" t="s" s="960">
        <v>1006</v>
      </c>
      <c r="F29" t="s" s="1097">
        <v>151</v>
      </c>
      <c r="G29" s="33"/>
      <c r="H29" s="80"/>
    </row>
    <row r="30" ht="13.55" customHeight="1">
      <c r="A30" s="27"/>
      <c r="B30" s="308"/>
      <c r="C30" s="958"/>
      <c r="D30" t="s" s="956">
        <v>1007</v>
      </c>
      <c r="E30" t="s" s="960">
        <v>1008</v>
      </c>
      <c r="F30" t="s" s="1097">
        <v>151</v>
      </c>
      <c r="G30" s="33"/>
      <c r="H30" s="80"/>
    </row>
    <row r="31" ht="13.55" customHeight="1">
      <c r="A31" s="27"/>
      <c r="B31" s="308"/>
      <c r="C31" t="s" s="956">
        <v>1009</v>
      </c>
      <c r="D31" t="s" s="956">
        <v>1010</v>
      </c>
      <c r="E31" t="s" s="960">
        <v>1011</v>
      </c>
      <c r="F31" t="s" s="1096">
        <v>181</v>
      </c>
      <c r="G31" s="33"/>
      <c r="H31" s="80"/>
    </row>
    <row r="32" ht="13.55" customHeight="1">
      <c r="A32" s="27"/>
      <c r="B32" s="308"/>
      <c r="C32" s="958"/>
      <c r="D32" t="s" s="956">
        <v>1012</v>
      </c>
      <c r="E32" t="s" s="960">
        <v>1013</v>
      </c>
      <c r="F32" t="s" s="1097">
        <v>151</v>
      </c>
      <c r="G32" s="33"/>
      <c r="H32" s="80"/>
    </row>
    <row r="33" ht="29.1" customHeight="1">
      <c r="A33" s="27"/>
      <c r="B33" s="308"/>
      <c r="C33" s="958"/>
      <c r="D33" t="s" s="956">
        <v>1014</v>
      </c>
      <c r="E33" t="s" s="960">
        <v>1015</v>
      </c>
      <c r="F33" t="s" s="1097">
        <v>151</v>
      </c>
      <c r="G33" s="33"/>
      <c r="H33" s="80"/>
    </row>
    <row r="34" ht="13.55" customHeight="1">
      <c r="A34" s="27"/>
      <c r="B34" s="308"/>
      <c r="C34" t="s" s="956">
        <v>1016</v>
      </c>
      <c r="D34" t="s" s="956">
        <v>1017</v>
      </c>
      <c r="E34" t="s" s="960">
        <v>1018</v>
      </c>
      <c r="F34" t="s" s="1100">
        <v>139</v>
      </c>
      <c r="G34" s="33"/>
      <c r="H34" s="80"/>
    </row>
    <row r="35" ht="13.55" customHeight="1">
      <c r="A35" s="27"/>
      <c r="B35" s="308"/>
      <c r="C35" t="s" s="956">
        <v>1019</v>
      </c>
      <c r="D35" t="s" s="956">
        <v>1020</v>
      </c>
      <c r="E35" t="s" s="960">
        <v>1021</v>
      </c>
      <c r="F35" t="s" s="1096">
        <v>181</v>
      </c>
      <c r="G35" s="33"/>
      <c r="H35" s="80"/>
    </row>
    <row r="36" ht="13.55" customHeight="1">
      <c r="A36" s="27"/>
      <c r="B36" s="308"/>
      <c r="C36" s="958"/>
      <c r="D36" t="s" s="956">
        <v>1022</v>
      </c>
      <c r="E36" t="s" s="960">
        <v>1023</v>
      </c>
      <c r="F36" t="s" s="1096">
        <v>181</v>
      </c>
      <c r="G36" s="33"/>
      <c r="H36" s="80"/>
    </row>
    <row r="37" ht="30" customHeight="1">
      <c r="A37" s="27"/>
      <c r="B37" s="308"/>
      <c r="C37" s="958"/>
      <c r="D37" t="s" s="956">
        <v>1024</v>
      </c>
      <c r="E37" t="s" s="960">
        <v>1025</v>
      </c>
      <c r="F37" t="s" s="1097">
        <v>151</v>
      </c>
      <c r="G37" s="33"/>
      <c r="H37" s="80"/>
    </row>
    <row r="38" ht="15" customHeight="1">
      <c r="A38" s="27"/>
      <c r="B38" s="316"/>
      <c r="C38" s="186"/>
      <c r="D38" t="s" s="962">
        <v>1026</v>
      </c>
      <c r="E38" t="s" s="964">
        <v>1027</v>
      </c>
      <c r="F38" t="s" s="1099">
        <v>151</v>
      </c>
      <c r="G38" s="33"/>
      <c r="H38" s="80"/>
    </row>
    <row r="39" ht="14.05" customHeight="1">
      <c r="A39" s="27"/>
      <c r="B39" t="s" s="387">
        <v>1028</v>
      </c>
      <c r="C39" t="s" s="966">
        <v>1029</v>
      </c>
      <c r="D39" t="s" s="966">
        <v>1030</v>
      </c>
      <c r="E39" t="s" s="274">
        <v>443</v>
      </c>
      <c r="F39" t="s" s="1095">
        <v>1031</v>
      </c>
      <c r="G39" s="33"/>
      <c r="H39" s="80"/>
    </row>
    <row r="40" ht="13.55" customHeight="1">
      <c r="A40" s="27"/>
      <c r="B40" s="415"/>
      <c r="C40" t="s" s="956">
        <v>1029</v>
      </c>
      <c r="D40" t="s" s="956">
        <v>1032</v>
      </c>
      <c r="E40" t="s" s="960">
        <v>442</v>
      </c>
      <c r="F40" t="s" s="1096">
        <v>1031</v>
      </c>
      <c r="G40" s="33"/>
      <c r="H40" s="80"/>
    </row>
    <row r="41" ht="29.45" customHeight="1">
      <c r="A41" s="27"/>
      <c r="B41" s="337"/>
      <c r="C41" t="s" s="962">
        <v>1029</v>
      </c>
      <c r="D41" t="s" s="962">
        <v>1033</v>
      </c>
      <c r="E41" t="s" s="964">
        <v>1034</v>
      </c>
      <c r="F41" t="s" s="1099">
        <v>151</v>
      </c>
      <c r="G41" s="33"/>
      <c r="H41" s="80"/>
    </row>
    <row r="42" ht="14.05" customHeight="1">
      <c r="A42" s="27"/>
      <c r="B42" t="s" s="273">
        <v>282</v>
      </c>
      <c r="C42" t="s" s="966">
        <v>1029</v>
      </c>
      <c r="D42" t="s" s="966">
        <v>1035</v>
      </c>
      <c r="E42" t="s" s="274">
        <v>440</v>
      </c>
      <c r="F42" t="s" s="1095">
        <v>1031</v>
      </c>
      <c r="G42" s="33"/>
      <c r="H42" s="80"/>
    </row>
    <row r="43" ht="13.55" customHeight="1">
      <c r="A43" s="27"/>
      <c r="B43" s="308"/>
      <c r="C43" t="s" s="956">
        <v>1029</v>
      </c>
      <c r="D43" t="s" s="956">
        <v>1036</v>
      </c>
      <c r="E43" t="s" s="960">
        <v>434</v>
      </c>
      <c r="F43" t="s" s="1096">
        <v>1031</v>
      </c>
      <c r="G43" s="33"/>
      <c r="H43" s="80"/>
    </row>
    <row r="44" ht="13.55" customHeight="1">
      <c r="A44" s="27"/>
      <c r="B44" s="308"/>
      <c r="C44" t="s" s="956">
        <v>1029</v>
      </c>
      <c r="D44" t="s" s="956">
        <v>1037</v>
      </c>
      <c r="E44" t="s" s="960">
        <v>438</v>
      </c>
      <c r="F44" t="s" s="1096">
        <v>1031</v>
      </c>
      <c r="G44" s="33"/>
      <c r="H44" s="80"/>
    </row>
    <row r="45" ht="13.55" customHeight="1">
      <c r="A45" s="27"/>
      <c r="B45" s="308"/>
      <c r="C45" t="s" s="956">
        <v>1029</v>
      </c>
      <c r="D45" t="s" s="956">
        <v>1038</v>
      </c>
      <c r="E45" t="s" s="960">
        <v>435</v>
      </c>
      <c r="F45" t="s" s="1096">
        <v>181</v>
      </c>
      <c r="G45" s="33"/>
      <c r="H45" s="80"/>
    </row>
    <row r="46" ht="13.55" customHeight="1">
      <c r="A46" s="27"/>
      <c r="B46" s="308"/>
      <c r="C46" t="s" s="956">
        <v>1029</v>
      </c>
      <c r="D46" t="s" s="956">
        <v>1039</v>
      </c>
      <c r="E46" t="s" s="960">
        <v>437</v>
      </c>
      <c r="F46" t="s" s="1096">
        <v>1031</v>
      </c>
      <c r="G46" s="33"/>
      <c r="H46" s="80"/>
    </row>
    <row r="47" ht="13.55" customHeight="1">
      <c r="A47" s="27"/>
      <c r="B47" s="308"/>
      <c r="C47" t="s" s="956">
        <v>1029</v>
      </c>
      <c r="D47" t="s" s="956">
        <v>1040</v>
      </c>
      <c r="E47" t="s" s="960">
        <v>436</v>
      </c>
      <c r="F47" t="s" s="1096">
        <v>181</v>
      </c>
      <c r="G47" s="33"/>
      <c r="H47" s="80"/>
    </row>
    <row r="48" ht="13.55" customHeight="1">
      <c r="A48" s="27"/>
      <c r="B48" s="308"/>
      <c r="C48" t="s" s="956">
        <v>1029</v>
      </c>
      <c r="D48" t="s" s="956">
        <v>1041</v>
      </c>
      <c r="E48" t="s" s="960">
        <v>439</v>
      </c>
      <c r="F48" t="s" s="1096">
        <v>1031</v>
      </c>
      <c r="G48" s="33"/>
      <c r="H48" s="80"/>
    </row>
    <row r="49" ht="13.55" customHeight="1">
      <c r="A49" s="27"/>
      <c r="B49" s="308"/>
      <c r="C49" t="s" s="956">
        <v>1029</v>
      </c>
      <c r="D49" t="s" s="956">
        <v>1042</v>
      </c>
      <c r="E49" t="s" s="960">
        <v>1043</v>
      </c>
      <c r="F49" t="s" s="1096">
        <v>181</v>
      </c>
      <c r="G49" s="33"/>
      <c r="H49" s="80"/>
    </row>
    <row r="50" ht="13.55" customHeight="1">
      <c r="A50" s="27"/>
      <c r="B50" s="308"/>
      <c r="C50" t="s" s="956">
        <v>1029</v>
      </c>
      <c r="D50" t="s" s="956">
        <v>1044</v>
      </c>
      <c r="E50" t="s" s="960">
        <v>1045</v>
      </c>
      <c r="F50" t="s" s="1097">
        <v>151</v>
      </c>
      <c r="G50" s="33"/>
      <c r="H50" s="80"/>
    </row>
    <row r="51" ht="15" customHeight="1">
      <c r="A51" s="27"/>
      <c r="B51" s="316"/>
      <c r="C51" t="s" s="962">
        <v>1029</v>
      </c>
      <c r="D51" t="s" s="962">
        <v>1046</v>
      </c>
      <c r="E51" t="s" s="964">
        <v>441</v>
      </c>
      <c r="F51" t="s" s="1099">
        <v>151</v>
      </c>
      <c r="G51" s="33"/>
      <c r="H51" s="80"/>
    </row>
    <row r="52" ht="14.05" customHeight="1">
      <c r="A52" s="27"/>
      <c r="B52" t="s" s="273">
        <v>283</v>
      </c>
      <c r="C52" t="s" s="966">
        <v>406</v>
      </c>
      <c r="D52" t="s" s="966">
        <v>1047</v>
      </c>
      <c r="E52" t="s" s="274">
        <v>406</v>
      </c>
      <c r="F52" t="s" s="1101">
        <v>151</v>
      </c>
      <c r="G52" s="33"/>
      <c r="H52" s="80"/>
    </row>
    <row r="53" ht="15" customHeight="1">
      <c r="A53" s="27"/>
      <c r="B53" s="316"/>
      <c r="C53" t="s" s="962">
        <v>1048</v>
      </c>
      <c r="D53" t="s" s="962">
        <v>1049</v>
      </c>
      <c r="E53" t="s" s="964">
        <v>1050</v>
      </c>
      <c r="F53" t="s" s="1099">
        <v>151</v>
      </c>
      <c r="G53" s="33"/>
      <c r="H53" s="80"/>
    </row>
    <row r="54" ht="14.05" customHeight="1">
      <c r="A54" s="27"/>
      <c r="B54" t="s" s="273">
        <v>1051</v>
      </c>
      <c r="C54" t="s" s="966">
        <v>1052</v>
      </c>
      <c r="D54" t="s" s="966">
        <v>1053</v>
      </c>
      <c r="E54" t="s" s="274">
        <v>334</v>
      </c>
      <c r="F54" t="s" s="1101">
        <v>151</v>
      </c>
      <c r="G54" s="33"/>
      <c r="H54" s="80"/>
    </row>
    <row r="55" ht="13.55" customHeight="1">
      <c r="A55" s="27"/>
      <c r="B55" s="308"/>
      <c r="C55" t="s" s="956">
        <v>336</v>
      </c>
      <c r="D55" t="s" s="956">
        <v>1054</v>
      </c>
      <c r="E55" t="s" s="960">
        <v>336</v>
      </c>
      <c r="F55" t="s" s="1096">
        <v>181</v>
      </c>
      <c r="G55" s="33"/>
      <c r="H55" s="80"/>
    </row>
    <row r="56" ht="15" customHeight="1">
      <c r="A56" s="27"/>
      <c r="B56" s="316"/>
      <c r="C56" t="s" s="962">
        <v>1055</v>
      </c>
      <c r="D56" t="s" s="962">
        <v>1056</v>
      </c>
      <c r="E56" t="s" s="964">
        <v>335</v>
      </c>
      <c r="F56" t="s" s="1099">
        <v>151</v>
      </c>
      <c r="G56" s="33"/>
      <c r="H56" s="80"/>
    </row>
    <row r="57" ht="14.05" customHeight="1">
      <c r="A57" s="27"/>
      <c r="B57" t="s" s="273">
        <v>284</v>
      </c>
      <c r="C57" t="s" s="966">
        <v>1057</v>
      </c>
      <c r="D57" t="s" s="966">
        <v>1058</v>
      </c>
      <c r="E57" t="s" s="274">
        <v>407</v>
      </c>
      <c r="F57" t="s" s="1095">
        <v>181</v>
      </c>
      <c r="G57" s="33"/>
      <c r="H57" s="80"/>
    </row>
    <row r="58" ht="15" customHeight="1">
      <c r="A58" s="27"/>
      <c r="B58" s="316"/>
      <c r="C58" t="s" s="962">
        <v>1059</v>
      </c>
      <c r="D58" t="s" s="962">
        <v>1060</v>
      </c>
      <c r="E58" t="s" s="964">
        <v>408</v>
      </c>
      <c r="F58" t="s" s="1099">
        <v>151</v>
      </c>
      <c r="G58" s="33"/>
      <c r="H58" s="80"/>
    </row>
    <row r="59" ht="14.05" customHeight="1">
      <c r="A59" s="27"/>
      <c r="B59" t="s" s="273">
        <v>136</v>
      </c>
      <c r="C59" t="s" s="966">
        <v>410</v>
      </c>
      <c r="D59" t="s" s="966">
        <v>1061</v>
      </c>
      <c r="E59" t="s" s="274">
        <v>410</v>
      </c>
      <c r="F59" t="s" s="1095">
        <v>181</v>
      </c>
      <c r="G59" s="33"/>
      <c r="H59" s="80"/>
    </row>
    <row r="60" ht="13.55" customHeight="1">
      <c r="A60" s="27"/>
      <c r="B60" s="308"/>
      <c r="C60" t="s" s="956">
        <v>1062</v>
      </c>
      <c r="D60" t="s" s="956">
        <v>1063</v>
      </c>
      <c r="E60" t="s" s="960">
        <v>1064</v>
      </c>
      <c r="F60" t="s" s="1096">
        <v>181</v>
      </c>
      <c r="G60" s="33"/>
      <c r="H60" s="80"/>
    </row>
    <row r="61" ht="13.55" customHeight="1">
      <c r="A61" s="27"/>
      <c r="B61" s="308"/>
      <c r="C61" t="s" s="956">
        <v>1065</v>
      </c>
      <c r="D61" t="s" s="956">
        <v>1066</v>
      </c>
      <c r="E61" t="s" s="960">
        <v>1067</v>
      </c>
      <c r="F61" t="s" s="1097">
        <v>151</v>
      </c>
      <c r="G61" s="33"/>
      <c r="H61" s="80"/>
    </row>
    <row r="62" ht="13.55" customHeight="1">
      <c r="A62" s="27"/>
      <c r="B62" s="308"/>
      <c r="C62" t="s" s="956">
        <v>413</v>
      </c>
      <c r="D62" t="s" s="956">
        <v>1068</v>
      </c>
      <c r="E62" t="s" s="960">
        <v>413</v>
      </c>
      <c r="F62" t="s" s="1096">
        <v>181</v>
      </c>
      <c r="G62" s="33"/>
      <c r="H62" s="80"/>
    </row>
    <row r="63" ht="13.55" customHeight="1">
      <c r="A63" s="27"/>
      <c r="B63" s="308"/>
      <c r="C63" t="s" s="956">
        <v>1069</v>
      </c>
      <c r="D63" t="s" s="956">
        <v>1070</v>
      </c>
      <c r="E63" t="s" s="960">
        <v>416</v>
      </c>
      <c r="F63" t="s" s="1097">
        <v>151</v>
      </c>
      <c r="G63" s="33"/>
      <c r="H63" s="80"/>
    </row>
    <row r="64" ht="13.55" customHeight="1">
      <c r="A64" s="27"/>
      <c r="B64" s="308"/>
      <c r="C64" t="s" s="956">
        <v>1071</v>
      </c>
      <c r="D64" t="s" s="956">
        <v>1072</v>
      </c>
      <c r="E64" t="s" s="960">
        <v>426</v>
      </c>
      <c r="F64" t="s" s="1096">
        <v>181</v>
      </c>
      <c r="G64" s="33"/>
      <c r="H64" s="80"/>
    </row>
    <row r="65" ht="13.55" customHeight="1">
      <c r="A65" s="27"/>
      <c r="B65" s="308"/>
      <c r="C65" s="958"/>
      <c r="D65" t="s" s="956">
        <v>1073</v>
      </c>
      <c r="E65" t="s" s="960">
        <v>1074</v>
      </c>
      <c r="F65" t="s" s="1100">
        <v>139</v>
      </c>
      <c r="G65" s="33"/>
      <c r="H65" s="80"/>
    </row>
    <row r="66" ht="13.55" customHeight="1">
      <c r="A66" s="27"/>
      <c r="B66" s="308"/>
      <c r="C66" t="s" s="956">
        <v>1075</v>
      </c>
      <c r="D66" t="s" s="956">
        <v>1076</v>
      </c>
      <c r="E66" t="s" s="960">
        <v>1077</v>
      </c>
      <c r="F66" t="s" s="1097">
        <v>151</v>
      </c>
      <c r="G66" s="33"/>
      <c r="H66" s="80"/>
    </row>
    <row r="67" ht="13.55" customHeight="1">
      <c r="A67" s="27"/>
      <c r="B67" s="308"/>
      <c r="C67" t="s" s="956">
        <v>1078</v>
      </c>
      <c r="D67" t="s" s="956">
        <v>1079</v>
      </c>
      <c r="E67" t="s" s="960">
        <v>417</v>
      </c>
      <c r="F67" t="s" s="1096">
        <v>181</v>
      </c>
      <c r="G67" s="33"/>
      <c r="H67" s="80"/>
    </row>
    <row r="68" ht="13.55" customHeight="1">
      <c r="A68" s="27"/>
      <c r="B68" s="308"/>
      <c r="C68" t="s" s="956">
        <v>1080</v>
      </c>
      <c r="D68" t="s" s="956">
        <v>1081</v>
      </c>
      <c r="E68" t="s" s="960">
        <v>418</v>
      </c>
      <c r="F68" t="s" s="1096">
        <v>181</v>
      </c>
      <c r="G68" s="33"/>
      <c r="H68" s="80"/>
    </row>
    <row r="69" ht="13.55" customHeight="1">
      <c r="A69" s="27"/>
      <c r="B69" s="308"/>
      <c r="C69" s="958"/>
      <c r="D69" t="s" s="956">
        <v>1082</v>
      </c>
      <c r="E69" t="s" s="960">
        <v>419</v>
      </c>
      <c r="F69" t="s" s="1096">
        <v>181</v>
      </c>
      <c r="G69" s="33"/>
      <c r="H69" s="80"/>
    </row>
    <row r="70" ht="13.55" customHeight="1">
      <c r="A70" s="27"/>
      <c r="B70" s="308"/>
      <c r="C70" t="s" s="956">
        <v>1083</v>
      </c>
      <c r="D70" t="s" s="956">
        <v>1084</v>
      </c>
      <c r="E70" t="s" s="960">
        <v>137</v>
      </c>
      <c r="F70" t="s" s="1100">
        <v>139</v>
      </c>
      <c r="G70" s="33"/>
      <c r="H70" s="80"/>
    </row>
    <row r="71" ht="13.55" customHeight="1">
      <c r="A71" s="27"/>
      <c r="B71" s="308"/>
      <c r="C71" t="s" s="956">
        <v>1085</v>
      </c>
      <c r="D71" t="s" s="956">
        <v>1086</v>
      </c>
      <c r="E71" t="s" s="960">
        <v>403</v>
      </c>
      <c r="F71" t="s" s="1096">
        <v>181</v>
      </c>
      <c r="G71" s="33"/>
      <c r="H71" s="80"/>
    </row>
    <row r="72" ht="13.55" customHeight="1">
      <c r="A72" s="27"/>
      <c r="B72" s="308"/>
      <c r="C72" t="s" s="956">
        <v>1087</v>
      </c>
      <c r="D72" t="s" s="956">
        <v>1088</v>
      </c>
      <c r="E72" t="s" s="960">
        <v>421</v>
      </c>
      <c r="F72" t="s" s="1096">
        <v>181</v>
      </c>
      <c r="G72" s="33"/>
      <c r="H72" s="80"/>
    </row>
    <row r="73" ht="13.55" customHeight="1">
      <c r="A73" s="27"/>
      <c r="B73" s="308"/>
      <c r="C73" t="s" s="956">
        <v>1089</v>
      </c>
      <c r="D73" t="s" s="956">
        <v>1090</v>
      </c>
      <c r="E73" t="s" s="960">
        <v>411</v>
      </c>
      <c r="F73" t="s" s="1100">
        <v>139</v>
      </c>
      <c r="G73" s="33"/>
      <c r="H73" s="80"/>
    </row>
    <row r="74" ht="13.55" customHeight="1">
      <c r="A74" s="27"/>
      <c r="B74" s="308"/>
      <c r="C74" t="s" s="956">
        <v>1091</v>
      </c>
      <c r="D74" t="s" s="956">
        <v>1092</v>
      </c>
      <c r="E74" t="s" s="960">
        <v>178</v>
      </c>
      <c r="F74" t="s" s="1096">
        <v>181</v>
      </c>
      <c r="G74" s="33"/>
      <c r="H74" s="80"/>
    </row>
    <row r="75" ht="13.55" customHeight="1">
      <c r="A75" s="27"/>
      <c r="B75" s="308"/>
      <c r="C75" t="s" s="956">
        <v>1093</v>
      </c>
      <c r="D75" t="s" s="956">
        <v>1094</v>
      </c>
      <c r="E75" t="s" s="960">
        <v>1095</v>
      </c>
      <c r="F75" t="s" s="1096">
        <v>181</v>
      </c>
      <c r="G75" s="33"/>
      <c r="H75" s="80"/>
    </row>
    <row r="76" ht="13.55" customHeight="1">
      <c r="A76" s="27"/>
      <c r="B76" s="308"/>
      <c r="C76" t="s" s="956">
        <v>1096</v>
      </c>
      <c r="D76" t="s" s="956">
        <v>1097</v>
      </c>
      <c r="E76" t="s" s="960">
        <v>1098</v>
      </c>
      <c r="F76" t="s" s="1096">
        <v>181</v>
      </c>
      <c r="G76" s="33"/>
      <c r="H76" s="80"/>
    </row>
    <row r="77" ht="13.55" customHeight="1">
      <c r="A77" s="27"/>
      <c r="B77" s="308"/>
      <c r="C77" t="s" s="956">
        <v>1099</v>
      </c>
      <c r="D77" t="s" s="956">
        <v>1100</v>
      </c>
      <c r="E77" t="s" s="960">
        <v>422</v>
      </c>
      <c r="F77" t="s" s="1096">
        <v>181</v>
      </c>
      <c r="G77" s="33"/>
      <c r="H77" s="80"/>
    </row>
    <row r="78" ht="13.55" customHeight="1">
      <c r="A78" s="27"/>
      <c r="B78" s="308"/>
      <c r="C78" s="958"/>
      <c r="D78" t="s" s="956">
        <v>1101</v>
      </c>
      <c r="E78" t="s" s="960">
        <v>1102</v>
      </c>
      <c r="F78" t="s" s="1096">
        <v>181</v>
      </c>
      <c r="G78" s="33"/>
      <c r="H78" s="80"/>
    </row>
    <row r="79" ht="15" customHeight="1">
      <c r="A79" s="27"/>
      <c r="B79" s="316"/>
      <c r="C79" t="s" s="962">
        <v>1103</v>
      </c>
      <c r="D79" t="s" s="962">
        <v>1104</v>
      </c>
      <c r="E79" t="s" s="964">
        <v>415</v>
      </c>
      <c r="F79" t="s" s="1102">
        <v>139</v>
      </c>
      <c r="G79" s="33"/>
      <c r="H79" s="80"/>
    </row>
    <row r="80" ht="14.05" customHeight="1">
      <c r="A80" s="27"/>
      <c r="B80" t="s" s="273">
        <v>285</v>
      </c>
      <c r="C80" t="s" s="966">
        <v>1105</v>
      </c>
      <c r="D80" t="s" s="966">
        <v>1106</v>
      </c>
      <c r="E80" t="s" s="274">
        <v>428</v>
      </c>
      <c r="F80" t="s" s="1095">
        <v>181</v>
      </c>
      <c r="G80" s="33"/>
      <c r="H80" s="80"/>
    </row>
    <row r="81" ht="13.55" customHeight="1">
      <c r="A81" s="27"/>
      <c r="B81" s="308"/>
      <c r="C81" s="958"/>
      <c r="D81" t="s" s="956">
        <v>1107</v>
      </c>
      <c r="E81" t="s" s="960">
        <v>1108</v>
      </c>
      <c r="F81" t="s" s="1097">
        <v>151</v>
      </c>
      <c r="G81" s="33"/>
      <c r="H81" s="80"/>
    </row>
    <row r="82" ht="13.55" customHeight="1">
      <c r="A82" s="27"/>
      <c r="B82" s="308"/>
      <c r="C82" t="s" s="956">
        <v>1109</v>
      </c>
      <c r="D82" t="s" s="956">
        <v>1110</v>
      </c>
      <c r="E82" t="s" s="960">
        <v>430</v>
      </c>
      <c r="F82" t="s" s="1097">
        <v>151</v>
      </c>
      <c r="G82" s="33"/>
      <c r="H82" s="80"/>
    </row>
    <row r="83" ht="15" customHeight="1">
      <c r="A83" s="27"/>
      <c r="B83" s="316"/>
      <c r="C83" t="s" s="962">
        <v>1111</v>
      </c>
      <c r="D83" t="s" s="962">
        <v>1112</v>
      </c>
      <c r="E83" t="s" s="964">
        <v>431</v>
      </c>
      <c r="F83" t="s" s="1099">
        <v>151</v>
      </c>
      <c r="G83" s="33"/>
      <c r="H83" s="80"/>
    </row>
    <row r="84" ht="14.05" customHeight="1">
      <c r="A84" s="10"/>
      <c r="B84" s="71"/>
      <c r="C84" s="71"/>
      <c r="D84" s="71"/>
      <c r="E84" s="71"/>
      <c r="F84" s="71"/>
      <c r="G84" s="11"/>
      <c r="H84" s="80"/>
    </row>
    <row r="85" ht="13.55" customHeight="1">
      <c r="A85" s="10"/>
      <c r="B85" s="11"/>
      <c r="C85" s="11"/>
      <c r="D85" s="11"/>
      <c r="E85" s="11"/>
      <c r="F85" s="11"/>
      <c r="G85" s="11"/>
      <c r="H85" s="80"/>
    </row>
    <row r="86" ht="13.55" customHeight="1">
      <c r="A86" s="10"/>
      <c r="B86" s="11"/>
      <c r="C86" s="11"/>
      <c r="D86" s="11"/>
      <c r="E86" s="11"/>
      <c r="F86" s="11"/>
      <c r="G86" s="11"/>
      <c r="H86" s="80"/>
    </row>
    <row r="87" ht="13.55" customHeight="1">
      <c r="A87" s="10"/>
      <c r="B87" s="11"/>
      <c r="C87" s="11"/>
      <c r="D87" s="11"/>
      <c r="E87" s="11"/>
      <c r="F87" s="11"/>
      <c r="G87" s="11"/>
      <c r="H87" s="80"/>
    </row>
    <row r="88" ht="13.55" customHeight="1">
      <c r="A88" s="10"/>
      <c r="B88" s="11"/>
      <c r="C88" s="11"/>
      <c r="D88" s="11"/>
      <c r="E88" s="11"/>
      <c r="F88" s="11"/>
      <c r="G88" s="11"/>
      <c r="H88" s="80"/>
    </row>
    <row r="89" ht="9" customHeight="1" hidden="1">
      <c r="A89" s="10"/>
      <c r="B89" s="11"/>
      <c r="C89" s="11"/>
      <c r="D89" s="11"/>
      <c r="E89" s="11"/>
      <c r="F89" s="11"/>
      <c r="G89" s="11"/>
      <c r="H89" s="80"/>
    </row>
    <row r="90" ht="9" customHeight="1" hidden="1">
      <c r="A90" s="10"/>
      <c r="B90" s="11"/>
      <c r="C90" s="11"/>
      <c r="D90" s="11"/>
      <c r="E90" s="11"/>
      <c r="F90" s="11"/>
      <c r="G90" s="11"/>
      <c r="H90" s="80"/>
    </row>
    <row r="91" ht="9" customHeight="1" hidden="1">
      <c r="A91" s="10"/>
      <c r="B91" s="11"/>
      <c r="C91" s="11"/>
      <c r="D91" s="11"/>
      <c r="E91" s="11"/>
      <c r="F91" s="11"/>
      <c r="G91" s="11"/>
      <c r="H91" s="80"/>
    </row>
    <row r="92" ht="9" customHeight="1" hidden="1">
      <c r="A92" s="10"/>
      <c r="B92" s="11"/>
      <c r="C92" s="11"/>
      <c r="D92" s="11"/>
      <c r="E92" s="11"/>
      <c r="F92" s="11"/>
      <c r="G92" s="11"/>
      <c r="H92" s="80"/>
    </row>
    <row r="93" ht="9" customHeight="1" hidden="1">
      <c r="A93" s="10"/>
      <c r="B93" s="11"/>
      <c r="C93" s="11"/>
      <c r="D93" s="11"/>
      <c r="E93" s="11"/>
      <c r="F93" s="11"/>
      <c r="G93" s="11"/>
      <c r="H93" s="80"/>
    </row>
    <row r="94" ht="9" customHeight="1" hidden="1">
      <c r="A94" s="10"/>
      <c r="B94" s="11"/>
      <c r="C94" s="11"/>
      <c r="D94" s="11"/>
      <c r="E94" s="11"/>
      <c r="F94" s="11"/>
      <c r="G94" s="11"/>
      <c r="H94" s="80"/>
    </row>
    <row r="95" ht="9" customHeight="1" hidden="1">
      <c r="A95" s="10"/>
      <c r="B95" s="11"/>
      <c r="C95" s="11"/>
      <c r="D95" s="11"/>
      <c r="E95" s="11"/>
      <c r="F95" s="11"/>
      <c r="G95" s="11"/>
      <c r="H95" s="80"/>
    </row>
    <row r="96" ht="9" customHeight="1" hidden="1">
      <c r="A96" s="10"/>
      <c r="B96" s="11"/>
      <c r="C96" s="11"/>
      <c r="D96" s="11"/>
      <c r="E96" s="11"/>
      <c r="F96" s="11"/>
      <c r="G96" s="11"/>
      <c r="H96" s="80"/>
    </row>
    <row r="97" ht="9" customHeight="1" hidden="1">
      <c r="A97" s="10"/>
      <c r="B97" s="11"/>
      <c r="C97" s="11"/>
      <c r="D97" s="11"/>
      <c r="E97" s="11"/>
      <c r="F97" s="11"/>
      <c r="G97" s="11"/>
      <c r="H97" s="80"/>
    </row>
    <row r="98" ht="9" customHeight="1" hidden="1">
      <c r="A98" s="10"/>
      <c r="B98" s="11"/>
      <c r="C98" s="11"/>
      <c r="D98" s="11"/>
      <c r="E98" s="11"/>
      <c r="F98" s="11"/>
      <c r="G98" s="11"/>
      <c r="H98" s="80"/>
    </row>
    <row r="99" ht="9" customHeight="1" hidden="1">
      <c r="A99" s="10"/>
      <c r="B99" s="11"/>
      <c r="C99" s="11"/>
      <c r="D99" s="11"/>
      <c r="E99" s="11"/>
      <c r="F99" s="11"/>
      <c r="G99" s="11"/>
      <c r="H99" s="80"/>
    </row>
    <row r="100" ht="9" customHeight="1" hidden="1">
      <c r="A100" s="10"/>
      <c r="B100" s="11"/>
      <c r="C100" s="11"/>
      <c r="D100" s="11"/>
      <c r="E100" s="11"/>
      <c r="F100" s="11"/>
      <c r="G100" s="11"/>
      <c r="H100" s="80"/>
    </row>
    <row r="101" ht="9" customHeight="1" hidden="1">
      <c r="A101" s="10"/>
      <c r="B101" s="11"/>
      <c r="C101" s="11"/>
      <c r="D101" s="11"/>
      <c r="E101" s="11"/>
      <c r="F101" s="11"/>
      <c r="G101" s="11"/>
      <c r="H101" s="80"/>
    </row>
    <row r="102" ht="9" customHeight="1" hidden="1">
      <c r="A102" s="10"/>
      <c r="B102" s="11"/>
      <c r="C102" s="11"/>
      <c r="D102" s="11"/>
      <c r="E102" s="11"/>
      <c r="F102" s="11"/>
      <c r="G102" s="11"/>
      <c r="H102" s="80"/>
    </row>
    <row r="103" ht="9" customHeight="1" hidden="1">
      <c r="A103" s="10"/>
      <c r="B103" s="11"/>
      <c r="C103" s="11"/>
      <c r="D103" s="11"/>
      <c r="E103" s="11"/>
      <c r="F103" s="11"/>
      <c r="G103" s="11"/>
      <c r="H103" s="80"/>
    </row>
    <row r="104" ht="9" customHeight="1" hidden="1">
      <c r="A104" s="10"/>
      <c r="B104" s="11"/>
      <c r="C104" s="11"/>
      <c r="D104" s="11"/>
      <c r="E104" s="11"/>
      <c r="F104" s="11"/>
      <c r="G104" s="11"/>
      <c r="H104" s="80"/>
    </row>
    <row r="105" ht="9" customHeight="1" hidden="1">
      <c r="A105" s="10"/>
      <c r="B105" s="11"/>
      <c r="C105" s="11"/>
      <c r="D105" s="11"/>
      <c r="E105" s="11"/>
      <c r="F105" s="11"/>
      <c r="G105" s="11"/>
      <c r="H105" s="80"/>
    </row>
    <row r="106" ht="9" customHeight="1" hidden="1">
      <c r="A106" s="10"/>
      <c r="B106" s="11"/>
      <c r="C106" s="11"/>
      <c r="D106" s="11"/>
      <c r="E106" s="11"/>
      <c r="F106" s="11"/>
      <c r="G106" s="11"/>
      <c r="H106" s="80"/>
    </row>
    <row r="107" ht="9" customHeight="1" hidden="1">
      <c r="A107" s="10"/>
      <c r="B107" s="11"/>
      <c r="C107" s="11"/>
      <c r="D107" s="11"/>
      <c r="E107" s="11"/>
      <c r="F107" s="11"/>
      <c r="G107" s="11"/>
      <c r="H107" s="80"/>
    </row>
    <row r="108" ht="9" customHeight="1" hidden="1">
      <c r="A108" s="10"/>
      <c r="B108" s="11"/>
      <c r="C108" s="11"/>
      <c r="D108" s="11"/>
      <c r="E108" s="11"/>
      <c r="F108" s="11"/>
      <c r="G108" s="11"/>
      <c r="H108" s="80"/>
    </row>
    <row r="109" ht="9" customHeight="1" hidden="1">
      <c r="A109" s="10"/>
      <c r="B109" s="11"/>
      <c r="C109" s="11"/>
      <c r="D109" s="11"/>
      <c r="E109" s="11"/>
      <c r="F109" s="11"/>
      <c r="G109" s="11"/>
      <c r="H109" s="80"/>
    </row>
    <row r="110" ht="9" customHeight="1" hidden="1">
      <c r="A110" s="10"/>
      <c r="B110" s="11"/>
      <c r="C110" s="11"/>
      <c r="D110" s="11"/>
      <c r="E110" s="11"/>
      <c r="F110" s="11"/>
      <c r="G110" s="11"/>
      <c r="H110" s="80"/>
    </row>
    <row r="111" ht="9" customHeight="1" hidden="1">
      <c r="A111" s="10"/>
      <c r="B111" s="11"/>
      <c r="C111" s="11"/>
      <c r="D111" s="11"/>
      <c r="E111" s="11"/>
      <c r="F111" s="11"/>
      <c r="G111" s="11"/>
      <c r="H111" s="80"/>
    </row>
    <row r="112" ht="9" customHeight="1" hidden="1">
      <c r="A112" s="10"/>
      <c r="B112" s="11"/>
      <c r="C112" s="11"/>
      <c r="D112" s="11"/>
      <c r="E112" s="11"/>
      <c r="F112" s="11"/>
      <c r="G112" s="11"/>
      <c r="H112" s="80"/>
    </row>
    <row r="113" ht="9" customHeight="1" hidden="1">
      <c r="A113" s="10"/>
      <c r="B113" s="11"/>
      <c r="C113" s="11"/>
      <c r="D113" s="11"/>
      <c r="E113" s="11"/>
      <c r="F113" s="11"/>
      <c r="G113" s="11"/>
      <c r="H113" s="80"/>
    </row>
    <row r="114" ht="9" customHeight="1" hidden="1">
      <c r="A114" s="10"/>
      <c r="B114" s="11"/>
      <c r="C114" s="11"/>
      <c r="D114" s="11"/>
      <c r="E114" s="11"/>
      <c r="F114" s="11"/>
      <c r="G114" s="11"/>
      <c r="H114" s="80"/>
    </row>
    <row r="115" ht="9" customHeight="1" hidden="1">
      <c r="A115" s="10"/>
      <c r="B115" s="11"/>
      <c r="C115" s="11"/>
      <c r="D115" s="11"/>
      <c r="E115" s="11"/>
      <c r="F115" s="11"/>
      <c r="G115" s="11"/>
      <c r="H115" s="80"/>
    </row>
    <row r="116" ht="9" customHeight="1" hidden="1">
      <c r="A116" s="10"/>
      <c r="B116" s="11"/>
      <c r="C116" s="11"/>
      <c r="D116" s="11"/>
      <c r="E116" s="11"/>
      <c r="F116" s="11"/>
      <c r="G116" s="11"/>
      <c r="H116" s="80"/>
    </row>
    <row r="117" ht="9" customHeight="1" hidden="1">
      <c r="A117" s="10"/>
      <c r="B117" s="11"/>
      <c r="C117" s="11"/>
      <c r="D117" s="11"/>
      <c r="E117" s="11"/>
      <c r="F117" s="11"/>
      <c r="G117" s="11"/>
      <c r="H117" s="80"/>
    </row>
    <row r="118" ht="9" customHeight="1" hidden="1">
      <c r="A118" s="10"/>
      <c r="B118" s="11"/>
      <c r="C118" s="11"/>
      <c r="D118" s="11"/>
      <c r="E118" s="11"/>
      <c r="F118" s="11"/>
      <c r="G118" s="11"/>
      <c r="H118" s="80"/>
    </row>
    <row r="119" ht="9" customHeight="1" hidden="1">
      <c r="A119" s="10"/>
      <c r="B119" s="11"/>
      <c r="C119" s="11"/>
      <c r="D119" s="11"/>
      <c r="E119" s="11"/>
      <c r="F119" s="11"/>
      <c r="G119" s="11"/>
      <c r="H119" s="80"/>
    </row>
    <row r="120" ht="9" customHeight="1" hidden="1">
      <c r="A120" s="10"/>
      <c r="B120" s="11"/>
      <c r="C120" s="11"/>
      <c r="D120" s="11"/>
      <c r="E120" s="11"/>
      <c r="F120" s="11"/>
      <c r="G120" s="11"/>
      <c r="H120" s="80"/>
    </row>
    <row r="121" ht="9" customHeight="1" hidden="1">
      <c r="A121" s="10"/>
      <c r="B121" s="11"/>
      <c r="C121" s="11"/>
      <c r="D121" s="11"/>
      <c r="E121" s="11"/>
      <c r="F121" s="11"/>
      <c r="G121" s="11"/>
      <c r="H121" s="80"/>
    </row>
    <row r="122" ht="9" customHeight="1" hidden="1">
      <c r="A122" s="10"/>
      <c r="B122" s="11"/>
      <c r="C122" s="11"/>
      <c r="D122" s="11"/>
      <c r="E122" s="11"/>
      <c r="F122" s="11"/>
      <c r="G122" s="11"/>
      <c r="H122" s="80"/>
    </row>
    <row r="123" ht="9" customHeight="1" hidden="1">
      <c r="A123" s="10"/>
      <c r="B123" s="11"/>
      <c r="C123" s="11"/>
      <c r="D123" s="11"/>
      <c r="E123" s="11"/>
      <c r="F123" s="11"/>
      <c r="G123" s="11"/>
      <c r="H123" s="80"/>
    </row>
    <row r="124" ht="9" customHeight="1" hidden="1">
      <c r="A124" s="10"/>
      <c r="B124" s="11"/>
      <c r="C124" s="11"/>
      <c r="D124" s="11"/>
      <c r="E124" s="11"/>
      <c r="F124" s="11"/>
      <c r="G124" s="11"/>
      <c r="H124" s="80"/>
    </row>
    <row r="125" ht="9" customHeight="1" hidden="1">
      <c r="A125" s="10"/>
      <c r="B125" s="11"/>
      <c r="C125" s="11"/>
      <c r="D125" s="11"/>
      <c r="E125" s="11"/>
      <c r="F125" s="11"/>
      <c r="G125" s="11"/>
      <c r="H125" s="80"/>
    </row>
    <row r="126" ht="9" customHeight="1" hidden="1">
      <c r="A126" s="10"/>
      <c r="B126" s="11"/>
      <c r="C126" s="11"/>
      <c r="D126" s="11"/>
      <c r="E126" s="11"/>
      <c r="F126" s="11"/>
      <c r="G126" s="11"/>
      <c r="H126" s="80"/>
    </row>
    <row r="127" ht="9" customHeight="1" hidden="1">
      <c r="A127" s="10"/>
      <c r="B127" s="11"/>
      <c r="C127" s="11"/>
      <c r="D127" s="11"/>
      <c r="E127" s="11"/>
      <c r="F127" s="11"/>
      <c r="G127" s="11"/>
      <c r="H127" s="80"/>
    </row>
    <row r="128" ht="9" customHeight="1" hidden="1">
      <c r="A128" s="10"/>
      <c r="B128" s="11"/>
      <c r="C128" s="11"/>
      <c r="D128" s="11"/>
      <c r="E128" s="11"/>
      <c r="F128" s="11"/>
      <c r="G128" s="11"/>
      <c r="H128" s="80"/>
    </row>
    <row r="129" ht="9" customHeight="1" hidden="1">
      <c r="A129" s="10"/>
      <c r="B129" s="11"/>
      <c r="C129" s="11"/>
      <c r="D129" s="11"/>
      <c r="E129" s="11"/>
      <c r="F129" s="11"/>
      <c r="G129" s="11"/>
      <c r="H129" s="80"/>
    </row>
    <row r="130" ht="9" customHeight="1" hidden="1">
      <c r="A130" s="10"/>
      <c r="B130" s="11"/>
      <c r="C130" s="11"/>
      <c r="D130" s="11"/>
      <c r="E130" s="11"/>
      <c r="F130" s="11"/>
      <c r="G130" s="11"/>
      <c r="H130" s="80"/>
    </row>
    <row r="131" ht="9" customHeight="1" hidden="1">
      <c r="A131" s="10"/>
      <c r="B131" s="11"/>
      <c r="C131" s="11"/>
      <c r="D131" s="11"/>
      <c r="E131" s="11"/>
      <c r="F131" s="11"/>
      <c r="G131" s="11"/>
      <c r="H131" s="80"/>
    </row>
    <row r="132" ht="9" customHeight="1" hidden="1">
      <c r="A132" s="10"/>
      <c r="B132" s="11"/>
      <c r="C132" s="11"/>
      <c r="D132" s="11"/>
      <c r="E132" s="11"/>
      <c r="F132" s="11"/>
      <c r="G132" s="11"/>
      <c r="H132" s="80"/>
    </row>
    <row r="133" ht="9" customHeight="1" hidden="1">
      <c r="A133" s="10"/>
      <c r="B133" s="11"/>
      <c r="C133" s="11"/>
      <c r="D133" s="11"/>
      <c r="E133" s="11"/>
      <c r="F133" s="11"/>
      <c r="G133" s="11"/>
      <c r="H133" s="80"/>
    </row>
    <row r="134" ht="9" customHeight="1" hidden="1">
      <c r="A134" s="10"/>
      <c r="B134" s="11"/>
      <c r="C134" s="11"/>
      <c r="D134" s="11"/>
      <c r="E134" s="11"/>
      <c r="F134" s="11"/>
      <c r="G134" s="11"/>
      <c r="H134" s="80"/>
    </row>
    <row r="135" ht="9" customHeight="1" hidden="1">
      <c r="A135" s="10"/>
      <c r="B135" s="11"/>
      <c r="C135" s="11"/>
      <c r="D135" s="11"/>
      <c r="E135" s="11"/>
      <c r="F135" s="11"/>
      <c r="G135" s="11"/>
      <c r="H135" s="80"/>
    </row>
    <row r="136" ht="9" customHeight="1" hidden="1">
      <c r="A136" s="10"/>
      <c r="B136" s="11"/>
      <c r="C136" s="11"/>
      <c r="D136" s="11"/>
      <c r="E136" s="11"/>
      <c r="F136" s="11"/>
      <c r="G136" s="11"/>
      <c r="H136" s="80"/>
    </row>
    <row r="137" ht="9" customHeight="1" hidden="1">
      <c r="A137" s="10"/>
      <c r="B137" s="11"/>
      <c r="C137" s="11"/>
      <c r="D137" s="11"/>
      <c r="E137" s="11"/>
      <c r="F137" s="11"/>
      <c r="G137" s="11"/>
      <c r="H137" s="80"/>
    </row>
    <row r="138" ht="9" customHeight="1" hidden="1">
      <c r="A138" s="10"/>
      <c r="B138" s="11"/>
      <c r="C138" s="11"/>
      <c r="D138" s="11"/>
      <c r="E138" s="11"/>
      <c r="F138" s="11"/>
      <c r="G138" s="11"/>
      <c r="H138" s="80"/>
    </row>
    <row r="139" ht="9" customHeight="1" hidden="1">
      <c r="A139" s="10"/>
      <c r="B139" s="11"/>
      <c r="C139" s="11"/>
      <c r="D139" s="11"/>
      <c r="E139" s="11"/>
      <c r="F139" s="11"/>
      <c r="G139" s="11"/>
      <c r="H139" s="80"/>
    </row>
    <row r="140" ht="9" customHeight="1" hidden="1">
      <c r="A140" s="10"/>
      <c r="B140" s="11"/>
      <c r="C140" s="11"/>
      <c r="D140" s="11"/>
      <c r="E140" s="11"/>
      <c r="F140" s="11"/>
      <c r="G140" s="11"/>
      <c r="H140" s="80"/>
    </row>
    <row r="141" ht="9" customHeight="1" hidden="1">
      <c r="A141" s="10"/>
      <c r="B141" s="11"/>
      <c r="C141" s="11"/>
      <c r="D141" s="11"/>
      <c r="E141" s="11"/>
      <c r="F141" s="11"/>
      <c r="G141" s="11"/>
      <c r="H141" s="80"/>
    </row>
    <row r="142" ht="9" customHeight="1" hidden="1">
      <c r="A142" s="10"/>
      <c r="B142" s="11"/>
      <c r="C142" s="11"/>
      <c r="D142" s="11"/>
      <c r="E142" s="11"/>
      <c r="F142" s="11"/>
      <c r="G142" s="11"/>
      <c r="H142" s="80"/>
    </row>
    <row r="143" ht="9" customHeight="1" hidden="1">
      <c r="A143" s="10"/>
      <c r="B143" s="11"/>
      <c r="C143" s="11"/>
      <c r="D143" s="11"/>
      <c r="E143" s="11"/>
      <c r="F143" s="11"/>
      <c r="G143" s="11"/>
      <c r="H143" s="80"/>
    </row>
    <row r="144" ht="9" customHeight="1" hidden="1">
      <c r="A144" s="10"/>
      <c r="B144" s="11"/>
      <c r="C144" s="11"/>
      <c r="D144" s="11"/>
      <c r="E144" s="11"/>
      <c r="F144" s="11"/>
      <c r="G144" s="11"/>
      <c r="H144" s="80"/>
    </row>
    <row r="145" ht="9" customHeight="1" hidden="1">
      <c r="A145" s="10"/>
      <c r="B145" s="11"/>
      <c r="C145" s="11"/>
      <c r="D145" s="11"/>
      <c r="E145" s="11"/>
      <c r="F145" s="11"/>
      <c r="G145" s="11"/>
      <c r="H145" s="80"/>
    </row>
    <row r="146" ht="9" customHeight="1" hidden="1">
      <c r="A146" s="10"/>
      <c r="B146" s="11"/>
      <c r="C146" s="11"/>
      <c r="D146" s="11"/>
      <c r="E146" s="11"/>
      <c r="F146" s="11"/>
      <c r="G146" s="11"/>
      <c r="H146" s="80"/>
    </row>
    <row r="147" ht="9" customHeight="1" hidden="1">
      <c r="A147" s="10"/>
      <c r="B147" s="11"/>
      <c r="C147" s="11"/>
      <c r="D147" s="11"/>
      <c r="E147" s="11"/>
      <c r="F147" s="11"/>
      <c r="G147" s="11"/>
      <c r="H147" s="80"/>
    </row>
    <row r="148" ht="9" customHeight="1" hidden="1">
      <c r="A148" s="10"/>
      <c r="B148" s="11"/>
      <c r="C148" s="11"/>
      <c r="D148" s="11"/>
      <c r="E148" s="11"/>
      <c r="F148" s="11"/>
      <c r="G148" s="11"/>
      <c r="H148" s="80"/>
    </row>
    <row r="149" ht="9" customHeight="1" hidden="1">
      <c r="A149" s="10"/>
      <c r="B149" s="11"/>
      <c r="C149" s="11"/>
      <c r="D149" s="11"/>
      <c r="E149" s="11"/>
      <c r="F149" s="11"/>
      <c r="G149" s="11"/>
      <c r="H149" s="80"/>
    </row>
    <row r="150" ht="9" customHeight="1" hidden="1">
      <c r="A150" s="10"/>
      <c r="B150" s="11"/>
      <c r="C150" s="11"/>
      <c r="D150" s="11"/>
      <c r="E150" s="11"/>
      <c r="F150" s="11"/>
      <c r="G150" s="11"/>
      <c r="H150" s="80"/>
    </row>
    <row r="151" ht="9" customHeight="1" hidden="1">
      <c r="A151" s="10"/>
      <c r="B151" s="11"/>
      <c r="C151" s="11"/>
      <c r="D151" s="664"/>
      <c r="E151" s="115"/>
      <c r="F151" s="115"/>
      <c r="G151" s="115"/>
      <c r="H151" s="115"/>
    </row>
    <row r="152" ht="9" customHeight="1" hidden="1">
      <c r="A152" s="10"/>
      <c r="B152" s="11"/>
      <c r="C152" s="11"/>
      <c r="D152" s="664"/>
      <c r="E152" s="115"/>
      <c r="F152" s="115"/>
      <c r="G152" s="115"/>
      <c r="H152" s="115"/>
    </row>
    <row r="153" ht="9" customHeight="1" hidden="1">
      <c r="A153" s="10"/>
      <c r="B153" s="11"/>
      <c r="C153" s="11"/>
      <c r="D153" s="664"/>
      <c r="E153" s="115"/>
      <c r="F153" s="115"/>
      <c r="G153" s="115"/>
      <c r="H153" s="115"/>
    </row>
    <row r="154" ht="9" customHeight="1" hidden="1">
      <c r="A154" s="10"/>
      <c r="B154" s="11"/>
      <c r="C154" s="11"/>
      <c r="D154" s="664"/>
      <c r="E154" s="115"/>
      <c r="F154" s="115"/>
      <c r="G154" s="115"/>
      <c r="H154" s="115"/>
    </row>
    <row r="155" ht="9" customHeight="1" hidden="1">
      <c r="A155" s="10"/>
      <c r="B155" s="11"/>
      <c r="C155" s="11"/>
      <c r="D155" s="664"/>
      <c r="E155" s="115"/>
      <c r="F155" s="115"/>
      <c r="G155" s="115"/>
      <c r="H155" s="115"/>
    </row>
    <row r="156" ht="9" customHeight="1" hidden="1">
      <c r="A156" s="10"/>
      <c r="B156" s="11"/>
      <c r="C156" s="11"/>
      <c r="D156" s="664"/>
      <c r="E156" s="115"/>
      <c r="F156" s="115"/>
      <c r="G156" s="115"/>
      <c r="H156" s="115"/>
    </row>
    <row r="157" ht="9" customHeight="1" hidden="1">
      <c r="A157" s="10"/>
      <c r="B157" s="11"/>
      <c r="C157" s="11"/>
      <c r="D157" s="664"/>
      <c r="E157" s="115"/>
      <c r="F157" s="115"/>
      <c r="G157" s="115"/>
      <c r="H157" s="115"/>
    </row>
    <row r="158" ht="13.55" customHeight="1">
      <c r="A158" s="72"/>
      <c r="B158" s="72"/>
      <c r="C158" s="72"/>
      <c r="D158" s="72"/>
      <c r="E158" s="72"/>
      <c r="F158" s="72"/>
      <c r="G158" s="72"/>
      <c r="H158" s="72"/>
    </row>
  </sheetData>
  <mergeCells count="22">
    <mergeCell ref="B4:B14"/>
    <mergeCell ref="C4:C7"/>
    <mergeCell ref="C8:C12"/>
    <mergeCell ref="B15:B19"/>
    <mergeCell ref="C17:C19"/>
    <mergeCell ref="B20:B27"/>
    <mergeCell ref="C21:C27"/>
    <mergeCell ref="B28:B38"/>
    <mergeCell ref="C28:C30"/>
    <mergeCell ref="C31:C33"/>
    <mergeCell ref="C35:C38"/>
    <mergeCell ref="B39:B41"/>
    <mergeCell ref="B42:B51"/>
    <mergeCell ref="B52:B53"/>
    <mergeCell ref="B54:B56"/>
    <mergeCell ref="B57:B58"/>
    <mergeCell ref="B59:B79"/>
    <mergeCell ref="C64:C65"/>
    <mergeCell ref="C68:C69"/>
    <mergeCell ref="C77:C78"/>
    <mergeCell ref="B80:B83"/>
    <mergeCell ref="C80:C81"/>
  </mergeCells>
  <pageMargins left="0.7" right="0.7" top="0.75" bottom="0.75" header="0.3" footer="0.3"/>
  <pageSetup firstPageNumber="1" fitToHeight="1" fitToWidth="1" scale="100" useFirstPageNumber="0" orientation="portrait" pageOrder="downThenOver"/>
  <headerFooter>
    <oddFooter>&amp;C&amp;"Helvetica Neue,Regular"&amp;12&amp;K000000&amp;P</oddFooter>
  </headerFooter>
</worksheet>
</file>

<file path=xl/worksheets/sheet2.xml><?xml version="1.0" encoding="utf-8"?>
<worksheet xmlns:r="http://schemas.openxmlformats.org/officeDocument/2006/relationships" xmlns="http://schemas.openxmlformats.org/spreadsheetml/2006/main">
  <sheetPr>
    <pageSetUpPr fitToPage="1"/>
  </sheetPr>
  <dimension ref="A1:AD95"/>
  <sheetViews>
    <sheetView workbookViewId="0" showGridLines="0" defaultGridColor="1"/>
  </sheetViews>
  <sheetFormatPr defaultColWidth="8.83333" defaultRowHeight="15" customHeight="1" outlineLevelRow="0" outlineLevelCol="0"/>
  <cols>
    <col min="1" max="1" width="3.5" style="6" customWidth="1"/>
    <col min="2" max="6" width="8.85156" style="6" customWidth="1"/>
    <col min="7" max="7" width="11.6719" style="6" customWidth="1"/>
    <col min="8" max="8" width="8.85156" style="6" customWidth="1"/>
    <col min="9" max="9" width="12.8516" style="6" customWidth="1"/>
    <col min="10" max="10" width="14.6719" style="6" customWidth="1"/>
    <col min="11" max="18" width="8.85156" style="6" customWidth="1"/>
    <col min="19" max="19" width="3.67188" style="6" customWidth="1"/>
    <col min="20" max="30" hidden="1" width="8.83333" style="6" customWidth="1"/>
    <col min="31" max="16384" width="8.85156" style="6" customWidth="1"/>
  </cols>
  <sheetData>
    <row r="1" ht="15" customHeight="1">
      <c r="A1" s="7"/>
      <c r="B1" s="8"/>
      <c r="C1" s="8"/>
      <c r="D1" s="9"/>
      <c r="E1" s="9"/>
      <c r="F1" s="9"/>
      <c r="G1" s="9"/>
      <c r="H1" s="9"/>
      <c r="I1" s="9"/>
      <c r="J1" s="9"/>
      <c r="K1" s="8"/>
      <c r="L1" s="8"/>
      <c r="M1" s="8"/>
      <c r="N1" s="8"/>
      <c r="O1" s="8"/>
      <c r="P1" s="8"/>
      <c r="Q1" s="8"/>
      <c r="R1" s="8"/>
      <c r="S1" s="8"/>
      <c r="T1" s="8"/>
      <c r="U1" s="8"/>
      <c r="V1" s="8"/>
      <c r="W1" s="8"/>
      <c r="X1" s="8"/>
      <c r="Y1" s="8"/>
      <c r="Z1" s="8"/>
      <c r="AA1" s="8"/>
      <c r="AB1" s="8"/>
      <c r="AC1" s="8"/>
      <c r="AD1" s="8"/>
    </row>
    <row r="2" ht="15" customHeight="1">
      <c r="A2" s="10"/>
      <c r="B2" s="11"/>
      <c r="C2" s="11"/>
      <c r="D2" s="12"/>
      <c r="E2" s="12"/>
      <c r="F2" s="12"/>
      <c r="G2" s="12"/>
      <c r="H2" s="12"/>
      <c r="I2" s="12"/>
      <c r="J2" s="12"/>
      <c r="K2" s="11"/>
      <c r="L2" s="11"/>
      <c r="M2" s="11"/>
      <c r="N2" s="11"/>
      <c r="O2" s="11"/>
      <c r="P2" s="11"/>
      <c r="Q2" s="11"/>
      <c r="R2" s="11"/>
      <c r="S2" s="11"/>
      <c r="T2" s="11"/>
      <c r="U2" s="11"/>
      <c r="V2" s="11"/>
      <c r="W2" s="11"/>
      <c r="X2" s="11"/>
      <c r="Y2" s="11"/>
      <c r="Z2" s="11"/>
      <c r="AA2" s="11"/>
      <c r="AB2" s="11"/>
      <c r="AC2" s="11"/>
      <c r="AD2" s="11"/>
    </row>
    <row r="3" ht="15" customHeight="1">
      <c r="A3" s="10"/>
      <c r="B3" s="11"/>
      <c r="C3" s="11"/>
      <c r="D3" s="12"/>
      <c r="E3" s="12"/>
      <c r="F3" s="12"/>
      <c r="G3" s="12"/>
      <c r="H3" s="12"/>
      <c r="I3" s="12"/>
      <c r="J3" s="12"/>
      <c r="K3" s="11"/>
      <c r="L3" s="11"/>
      <c r="M3" s="11"/>
      <c r="N3" s="11"/>
      <c r="O3" s="11"/>
      <c r="P3" s="11"/>
      <c r="Q3" s="11"/>
      <c r="R3" s="11"/>
      <c r="S3" s="11"/>
      <c r="T3" s="11"/>
      <c r="U3" s="11"/>
      <c r="V3" s="11"/>
      <c r="W3" s="11"/>
      <c r="X3" s="11"/>
      <c r="Y3" s="11"/>
      <c r="Z3" s="11"/>
      <c r="AA3" s="11"/>
      <c r="AB3" s="11"/>
      <c r="AC3" s="11"/>
      <c r="AD3" s="11"/>
    </row>
    <row r="4" ht="15" customHeight="1">
      <c r="A4" s="10"/>
      <c r="B4" s="11"/>
      <c r="C4" s="11"/>
      <c r="D4" s="12"/>
      <c r="E4" s="12"/>
      <c r="F4" s="12"/>
      <c r="G4" s="12"/>
      <c r="H4" s="12"/>
      <c r="I4" s="12"/>
      <c r="J4" s="12"/>
      <c r="K4" s="11"/>
      <c r="L4" s="11"/>
      <c r="M4" s="11"/>
      <c r="N4" s="11"/>
      <c r="O4" s="11"/>
      <c r="P4" s="11"/>
      <c r="Q4" s="11"/>
      <c r="R4" s="11"/>
      <c r="S4" s="11"/>
      <c r="T4" s="11"/>
      <c r="U4" s="11"/>
      <c r="V4" s="11"/>
      <c r="W4" s="11"/>
      <c r="X4" s="11"/>
      <c r="Y4" s="11"/>
      <c r="Z4" s="11"/>
      <c r="AA4" s="11"/>
      <c r="AB4" s="11"/>
      <c r="AC4" s="11"/>
      <c r="AD4" s="11"/>
    </row>
    <row r="5" ht="15" customHeight="1">
      <c r="A5" s="10"/>
      <c r="B5" s="11"/>
      <c r="C5" s="11"/>
      <c r="D5" s="12"/>
      <c r="E5" s="12"/>
      <c r="F5" s="12"/>
      <c r="G5" s="12"/>
      <c r="H5" s="12"/>
      <c r="I5" s="12"/>
      <c r="J5" s="12"/>
      <c r="K5" s="11"/>
      <c r="L5" s="11"/>
      <c r="M5" s="11"/>
      <c r="N5" s="11"/>
      <c r="O5" s="11"/>
      <c r="P5" s="11"/>
      <c r="Q5" s="11"/>
      <c r="R5" s="11"/>
      <c r="S5" s="11"/>
      <c r="T5" s="11"/>
      <c r="U5" s="11"/>
      <c r="V5" s="11"/>
      <c r="W5" s="11"/>
      <c r="X5" s="11"/>
      <c r="Y5" s="11"/>
      <c r="Z5" s="11"/>
      <c r="AA5" s="11"/>
      <c r="AB5" s="11"/>
      <c r="AC5" s="11"/>
      <c r="AD5" s="11"/>
    </row>
    <row r="6" ht="13.55" customHeight="1">
      <c r="A6" t="s" s="13">
        <v>6</v>
      </c>
      <c r="B6" t="s" s="14">
        <v>7</v>
      </c>
      <c r="C6" s="15"/>
      <c r="D6" s="15"/>
      <c r="E6" s="15"/>
      <c r="F6" s="15"/>
      <c r="G6" s="15"/>
      <c r="H6" s="15"/>
      <c r="I6" s="15"/>
      <c r="J6" s="15"/>
      <c r="K6" s="11"/>
      <c r="L6" s="11"/>
      <c r="M6" s="11"/>
      <c r="N6" s="11"/>
      <c r="O6" s="11"/>
      <c r="P6" s="11"/>
      <c r="Q6" s="11"/>
      <c r="R6" s="11"/>
      <c r="S6" s="11"/>
      <c r="T6" s="11"/>
      <c r="U6" s="11"/>
      <c r="V6" s="11"/>
      <c r="W6" s="11"/>
      <c r="X6" s="11"/>
      <c r="Y6" s="11"/>
      <c r="Z6" s="11"/>
      <c r="AA6" s="11"/>
      <c r="AB6" s="11"/>
      <c r="AC6" s="11"/>
      <c r="AD6" s="11"/>
    </row>
    <row r="7" ht="15" customHeight="1">
      <c r="A7" s="10"/>
      <c r="B7" s="15"/>
      <c r="C7" s="15"/>
      <c r="D7" s="15"/>
      <c r="E7" s="15"/>
      <c r="F7" s="15"/>
      <c r="G7" s="15"/>
      <c r="H7" s="15"/>
      <c r="I7" s="15"/>
      <c r="J7" s="15"/>
      <c r="K7" s="11"/>
      <c r="L7" s="11"/>
      <c r="M7" s="11"/>
      <c r="N7" s="11"/>
      <c r="O7" s="11"/>
      <c r="P7" s="11"/>
      <c r="Q7" s="11"/>
      <c r="R7" s="11"/>
      <c r="S7" s="11"/>
      <c r="T7" s="11"/>
      <c r="U7" s="11"/>
      <c r="V7" s="11"/>
      <c r="W7" s="11"/>
      <c r="X7" s="11"/>
      <c r="Y7" s="11"/>
      <c r="Z7" s="11"/>
      <c r="AA7" s="11"/>
      <c r="AB7" s="11"/>
      <c r="AC7" s="11"/>
      <c r="AD7" s="11"/>
    </row>
    <row r="8" ht="28.5" customHeight="1">
      <c r="A8" s="10"/>
      <c r="B8" s="15"/>
      <c r="C8" s="15"/>
      <c r="D8" s="15"/>
      <c r="E8" s="15"/>
      <c r="F8" s="15"/>
      <c r="G8" s="15"/>
      <c r="H8" s="15"/>
      <c r="I8" s="15"/>
      <c r="J8" s="15"/>
      <c r="K8" s="11"/>
      <c r="L8" s="11"/>
      <c r="M8" s="11"/>
      <c r="N8" s="11"/>
      <c r="O8" s="11"/>
      <c r="P8" s="11"/>
      <c r="Q8" s="11"/>
      <c r="R8" s="11"/>
      <c r="S8" s="11"/>
      <c r="T8" s="11"/>
      <c r="U8" s="11"/>
      <c r="V8" s="11"/>
      <c r="W8" s="11"/>
      <c r="X8" s="11"/>
      <c r="Y8" s="11"/>
      <c r="Z8" s="11"/>
      <c r="AA8" s="11"/>
      <c r="AB8" s="11"/>
      <c r="AC8" s="11"/>
      <c r="AD8" s="11"/>
    </row>
    <row r="9" ht="14.45" customHeight="1">
      <c r="A9" s="10"/>
      <c r="B9" s="16"/>
      <c r="C9" s="16"/>
      <c r="D9" s="16"/>
      <c r="E9" s="16"/>
      <c r="F9" s="16"/>
      <c r="G9" s="16"/>
      <c r="H9" s="16"/>
      <c r="I9" s="16"/>
      <c r="J9" s="16"/>
      <c r="K9" s="11"/>
      <c r="L9" s="11"/>
      <c r="M9" s="11"/>
      <c r="N9" s="11"/>
      <c r="O9" s="11"/>
      <c r="P9" s="11"/>
      <c r="Q9" s="11"/>
      <c r="R9" s="11"/>
      <c r="S9" s="11"/>
      <c r="T9" s="11"/>
      <c r="U9" s="11"/>
      <c r="V9" s="11"/>
      <c r="W9" s="11"/>
      <c r="X9" s="11"/>
      <c r="Y9" s="11"/>
      <c r="Z9" s="11"/>
      <c r="AA9" s="11"/>
      <c r="AB9" s="11"/>
      <c r="AC9" s="11"/>
      <c r="AD9" s="11"/>
    </row>
    <row r="10" ht="20.45" customHeight="1">
      <c r="A10" s="10"/>
      <c r="B10" s="16"/>
      <c r="C10" s="16"/>
      <c r="D10" s="16"/>
      <c r="E10" s="16"/>
      <c r="F10" s="16"/>
      <c r="G10" s="16"/>
      <c r="H10" s="16"/>
      <c r="I10" s="16"/>
      <c r="J10" s="16"/>
      <c r="K10" s="11"/>
      <c r="L10" s="11"/>
      <c r="M10" s="11"/>
      <c r="N10" s="11"/>
      <c r="O10" s="11"/>
      <c r="P10" s="11"/>
      <c r="Q10" s="11"/>
      <c r="R10" s="11"/>
      <c r="S10" s="11"/>
      <c r="T10" s="11"/>
      <c r="U10" s="11"/>
      <c r="V10" s="11"/>
      <c r="W10" s="11"/>
      <c r="X10" s="11"/>
      <c r="Y10" s="11"/>
      <c r="Z10" s="11"/>
      <c r="AA10" s="11"/>
      <c r="AB10" s="11"/>
      <c r="AC10" s="11"/>
      <c r="AD10" s="11"/>
    </row>
    <row r="11" ht="15" customHeight="1">
      <c r="A11" s="10"/>
      <c r="B11" t="s" s="17">
        <v>8</v>
      </c>
      <c r="C11" s="18"/>
      <c r="D11" s="18"/>
      <c r="E11" s="18"/>
      <c r="F11" t="s" s="19">
        <v>9</v>
      </c>
      <c r="G11" s="19"/>
      <c r="H11" s="19"/>
      <c r="I11" s="19"/>
      <c r="J11" s="19"/>
      <c r="K11" s="11"/>
      <c r="L11" s="11"/>
      <c r="M11" s="11"/>
      <c r="N11" s="11"/>
      <c r="O11" s="11"/>
      <c r="P11" s="11"/>
      <c r="Q11" s="11"/>
      <c r="R11" s="11"/>
      <c r="S11" s="11"/>
      <c r="T11" s="11"/>
      <c r="U11" s="11"/>
      <c r="V11" s="11"/>
      <c r="W11" s="11"/>
      <c r="X11" s="11"/>
      <c r="Y11" s="11"/>
      <c r="Z11" s="11"/>
      <c r="AA11" s="11"/>
      <c r="AB11" s="11"/>
      <c r="AC11" s="11"/>
      <c r="AD11" s="11"/>
    </row>
    <row r="12" ht="15" customHeight="1">
      <c r="A12" s="10"/>
      <c r="B12" s="20"/>
      <c r="C12" s="20"/>
      <c r="D12" s="20"/>
      <c r="E12" s="20"/>
      <c r="F12" s="20"/>
      <c r="G12" s="20"/>
      <c r="H12" s="20"/>
      <c r="I12" s="20"/>
      <c r="J12" s="20"/>
      <c r="K12" s="11"/>
      <c r="L12" s="11"/>
      <c r="M12" s="11"/>
      <c r="N12" s="11"/>
      <c r="O12" s="11"/>
      <c r="P12" s="11"/>
      <c r="Q12" s="11"/>
      <c r="R12" s="11"/>
      <c r="S12" s="11"/>
      <c r="T12" s="11"/>
      <c r="U12" s="11"/>
      <c r="V12" s="11"/>
      <c r="W12" s="11"/>
      <c r="X12" s="11"/>
      <c r="Y12" s="11"/>
      <c r="Z12" s="11"/>
      <c r="AA12" s="11"/>
      <c r="AB12" s="11"/>
      <c r="AC12" s="11"/>
      <c r="AD12" s="11"/>
    </row>
    <row r="13" ht="15" customHeight="1">
      <c r="A13" s="10"/>
      <c r="B13" s="11"/>
      <c r="C13" s="11"/>
      <c r="D13" s="11"/>
      <c r="E13" s="11"/>
      <c r="F13" s="11"/>
      <c r="G13" s="11"/>
      <c r="H13" s="11"/>
      <c r="I13" s="11"/>
      <c r="J13" s="11"/>
      <c r="K13" s="11"/>
      <c r="L13" s="11"/>
      <c r="M13" s="11"/>
      <c r="N13" s="11"/>
      <c r="O13" s="11"/>
      <c r="P13" s="11"/>
      <c r="Q13" s="11"/>
      <c r="R13" s="11"/>
      <c r="S13" s="11"/>
      <c r="T13" s="11"/>
      <c r="U13" s="11"/>
      <c r="V13" s="11"/>
      <c r="W13" s="11"/>
      <c r="X13" s="11"/>
      <c r="Y13" s="11"/>
      <c r="Z13" s="11"/>
      <c r="AA13" s="11"/>
      <c r="AB13" s="11"/>
      <c r="AC13" s="11"/>
      <c r="AD13" s="11"/>
    </row>
    <row r="14" ht="14.45" customHeight="1">
      <c r="A14" s="10"/>
      <c r="B14" s="21"/>
      <c r="C14" s="22"/>
      <c r="D14" s="22"/>
      <c r="E14" s="22"/>
      <c r="F14" s="22"/>
      <c r="G14" s="22"/>
      <c r="H14" s="22"/>
      <c r="I14" s="22"/>
      <c r="J14" s="22"/>
      <c r="K14" s="11"/>
      <c r="L14" s="11"/>
      <c r="M14" s="11"/>
      <c r="N14" s="11"/>
      <c r="O14" s="11"/>
      <c r="P14" s="11"/>
      <c r="Q14" s="11"/>
      <c r="R14" s="11"/>
      <c r="S14" s="11"/>
      <c r="T14" s="11"/>
      <c r="U14" s="11"/>
      <c r="V14" s="11"/>
      <c r="W14" s="11"/>
      <c r="X14" s="11"/>
      <c r="Y14" s="11"/>
      <c r="Z14" s="11"/>
      <c r="AA14" s="11"/>
      <c r="AB14" s="11"/>
      <c r="AC14" s="11"/>
      <c r="AD14" s="11"/>
    </row>
    <row r="15" ht="81" customHeight="1">
      <c r="A15" s="10"/>
      <c r="B15" s="21"/>
      <c r="C15" s="22"/>
      <c r="D15" s="22"/>
      <c r="E15" s="22"/>
      <c r="F15" s="22"/>
      <c r="G15" s="22"/>
      <c r="H15" s="22"/>
      <c r="I15" s="22"/>
      <c r="J15" s="22"/>
      <c r="K15" s="11"/>
      <c r="L15" s="11"/>
      <c r="M15" s="11"/>
      <c r="N15" s="11"/>
      <c r="O15" s="11"/>
      <c r="P15" s="11"/>
      <c r="Q15" s="11"/>
      <c r="R15" s="11"/>
      <c r="S15" s="11"/>
      <c r="T15" s="11"/>
      <c r="U15" s="11"/>
      <c r="V15" s="11"/>
      <c r="W15" s="11"/>
      <c r="X15" s="11"/>
      <c r="Y15" s="11"/>
      <c r="Z15" s="11"/>
      <c r="AA15" s="11"/>
      <c r="AB15" s="11"/>
      <c r="AC15" s="11"/>
      <c r="AD15" s="11"/>
    </row>
    <row r="16" ht="21.75" customHeight="1">
      <c r="A16" s="10"/>
      <c r="B16" s="23"/>
      <c r="C16" s="11"/>
      <c r="D16" s="11"/>
      <c r="E16" s="11"/>
      <c r="F16" s="11"/>
      <c r="G16" s="11"/>
      <c r="H16" s="11"/>
      <c r="I16" s="11"/>
      <c r="J16" s="11"/>
      <c r="K16" s="11"/>
      <c r="L16" s="11"/>
      <c r="M16" s="11"/>
      <c r="N16" s="11"/>
      <c r="O16" s="11"/>
      <c r="P16" s="11"/>
      <c r="Q16" s="11"/>
      <c r="R16" s="11"/>
      <c r="S16" s="11"/>
      <c r="T16" s="11"/>
      <c r="U16" s="11"/>
      <c r="V16" s="11"/>
      <c r="W16" s="11"/>
      <c r="X16" s="11"/>
      <c r="Y16" s="11"/>
      <c r="Z16" s="11"/>
      <c r="AA16" s="11"/>
      <c r="AB16" s="11"/>
      <c r="AC16" s="11"/>
      <c r="AD16" s="11"/>
    </row>
    <row r="17" ht="21" customHeight="1">
      <c r="A17" s="10"/>
      <c r="B17" t="s" s="24">
        <v>10</v>
      </c>
      <c r="C17" s="25"/>
      <c r="D17" s="25"/>
      <c r="E17" s="25"/>
      <c r="F17" s="25"/>
      <c r="G17" s="25"/>
      <c r="H17" s="25"/>
      <c r="I17" s="11"/>
      <c r="J17" s="11"/>
      <c r="K17" s="11"/>
      <c r="L17" s="11"/>
      <c r="M17" s="11"/>
      <c r="N17" s="11"/>
      <c r="O17" s="11"/>
      <c r="P17" s="11"/>
      <c r="Q17" s="11"/>
      <c r="R17" s="11"/>
      <c r="S17" s="11"/>
      <c r="T17" s="11"/>
      <c r="U17" s="11"/>
      <c r="V17" s="11"/>
      <c r="W17" s="11"/>
      <c r="X17" s="11"/>
      <c r="Y17" s="11"/>
      <c r="Z17" s="11"/>
      <c r="AA17" s="11"/>
      <c r="AB17" s="11"/>
      <c r="AC17" s="11"/>
      <c r="AD17" s="11"/>
    </row>
    <row r="18" ht="15" customHeight="1">
      <c r="A18" s="10"/>
      <c r="B18" s="26"/>
      <c r="C18" s="26"/>
      <c r="D18" s="26"/>
      <c r="E18" s="26"/>
      <c r="F18" s="26"/>
      <c r="G18" s="26"/>
      <c r="H18" s="26"/>
      <c r="I18" s="11"/>
      <c r="J18" s="11"/>
      <c r="K18" s="11"/>
      <c r="L18" s="11"/>
      <c r="M18" s="11"/>
      <c r="N18" s="11"/>
      <c r="O18" s="11"/>
      <c r="P18" s="11"/>
      <c r="Q18" s="11"/>
      <c r="R18" s="11"/>
      <c r="S18" s="11"/>
      <c r="T18" s="11"/>
      <c r="U18" s="11"/>
      <c r="V18" s="11"/>
      <c r="W18" s="11"/>
      <c r="X18" s="11"/>
      <c r="Y18" s="11"/>
      <c r="Z18" s="11"/>
      <c r="AA18" s="11"/>
      <c r="AB18" s="11"/>
      <c r="AC18" s="11"/>
      <c r="AD18" s="11"/>
    </row>
    <row r="19" ht="14.45" customHeight="1">
      <c r="A19" s="27"/>
      <c r="B19" s="28"/>
      <c r="C19" s="29"/>
      <c r="D19" t="s" s="30">
        <v>11</v>
      </c>
      <c r="E19" s="31"/>
      <c r="F19" s="31"/>
      <c r="G19" s="31"/>
      <c r="H19" s="32"/>
      <c r="I19" s="33"/>
      <c r="J19" s="11"/>
      <c r="K19" s="11"/>
      <c r="L19" s="11"/>
      <c r="M19" s="11"/>
      <c r="N19" s="11"/>
      <c r="O19" s="11"/>
      <c r="P19" s="11"/>
      <c r="Q19" s="11"/>
      <c r="R19" s="11"/>
      <c r="S19" s="11"/>
      <c r="T19" s="11"/>
      <c r="U19" s="11"/>
      <c r="V19" s="11"/>
      <c r="W19" s="11"/>
      <c r="X19" s="11"/>
      <c r="Y19" s="11"/>
      <c r="Z19" s="11"/>
      <c r="AA19" s="11"/>
      <c r="AB19" s="11"/>
      <c r="AC19" s="11"/>
      <c r="AD19" s="11"/>
    </row>
    <row r="20" ht="15" customHeight="1">
      <c r="A20" s="27"/>
      <c r="B20" s="34"/>
      <c r="C20" s="35"/>
      <c r="D20" s="36"/>
      <c r="E20" s="37"/>
      <c r="F20" s="37"/>
      <c r="G20" s="37"/>
      <c r="H20" s="38"/>
      <c r="I20" s="33"/>
      <c r="J20" s="11"/>
      <c r="K20" s="11"/>
      <c r="L20" s="11"/>
      <c r="M20" s="11"/>
      <c r="N20" s="11"/>
      <c r="O20" s="11"/>
      <c r="P20" s="11"/>
      <c r="Q20" s="11"/>
      <c r="R20" s="11"/>
      <c r="S20" s="11"/>
      <c r="T20" s="11"/>
      <c r="U20" s="11"/>
      <c r="V20" s="11"/>
      <c r="W20" s="11"/>
      <c r="X20" s="11"/>
      <c r="Y20" s="11"/>
      <c r="Z20" s="11"/>
      <c r="AA20" s="11"/>
      <c r="AB20" s="11"/>
      <c r="AC20" s="11"/>
      <c r="AD20" s="11"/>
    </row>
    <row r="21" ht="14.45" customHeight="1">
      <c r="A21" s="27"/>
      <c r="B21" s="39"/>
      <c r="C21" s="40"/>
      <c r="D21" t="s" s="41">
        <v>12</v>
      </c>
      <c r="E21" s="42"/>
      <c r="F21" s="42"/>
      <c r="G21" s="42"/>
      <c r="H21" s="43"/>
      <c r="I21" s="33"/>
      <c r="J21" s="11"/>
      <c r="K21" s="11"/>
      <c r="L21" s="11"/>
      <c r="M21" s="11"/>
      <c r="N21" s="11"/>
      <c r="O21" s="11"/>
      <c r="P21" s="11"/>
      <c r="Q21" s="11"/>
      <c r="R21" s="11"/>
      <c r="S21" s="11"/>
      <c r="T21" s="11"/>
      <c r="U21" s="11"/>
      <c r="V21" s="11"/>
      <c r="W21" s="11"/>
      <c r="X21" s="11"/>
      <c r="Y21" s="11"/>
      <c r="Z21" s="11"/>
      <c r="AA21" s="11"/>
      <c r="AB21" s="11"/>
      <c r="AC21" s="11"/>
      <c r="AD21" s="11"/>
    </row>
    <row r="22" ht="14.45" customHeight="1">
      <c r="A22" s="27"/>
      <c r="B22" s="44"/>
      <c r="C22" s="45"/>
      <c r="D22" s="36"/>
      <c r="E22" s="37"/>
      <c r="F22" s="37"/>
      <c r="G22" s="37"/>
      <c r="H22" s="38"/>
      <c r="I22" s="33"/>
      <c r="J22" s="11"/>
      <c r="K22" s="11"/>
      <c r="L22" s="11"/>
      <c r="M22" s="11"/>
      <c r="N22" s="11"/>
      <c r="O22" s="11"/>
      <c r="P22" s="11"/>
      <c r="Q22" s="11"/>
      <c r="R22" s="11"/>
      <c r="S22" s="11"/>
      <c r="T22" s="11"/>
      <c r="U22" s="11"/>
      <c r="V22" s="11"/>
      <c r="W22" s="11"/>
      <c r="X22" s="11"/>
      <c r="Y22" s="11"/>
      <c r="Z22" s="11"/>
      <c r="AA22" s="11"/>
      <c r="AB22" s="11"/>
      <c r="AC22" s="11"/>
      <c r="AD22" s="11"/>
    </row>
    <row r="23" ht="14.45" customHeight="1">
      <c r="A23" s="27"/>
      <c r="B23" s="46"/>
      <c r="C23" s="47"/>
      <c r="D23" t="s" s="41">
        <v>13</v>
      </c>
      <c r="E23" s="42"/>
      <c r="F23" s="42"/>
      <c r="G23" s="42"/>
      <c r="H23" s="43"/>
      <c r="I23" s="33"/>
      <c r="J23" s="11"/>
      <c r="K23" s="11"/>
      <c r="L23" s="11"/>
      <c r="M23" s="11"/>
      <c r="N23" s="11"/>
      <c r="O23" s="11"/>
      <c r="P23" s="11"/>
      <c r="Q23" s="11"/>
      <c r="R23" s="11"/>
      <c r="S23" s="11"/>
      <c r="T23" s="11"/>
      <c r="U23" s="11"/>
      <c r="V23" s="11"/>
      <c r="W23" s="11"/>
      <c r="X23" s="11"/>
      <c r="Y23" s="11"/>
      <c r="Z23" s="11"/>
      <c r="AA23" s="11"/>
      <c r="AB23" s="11"/>
      <c r="AC23" s="11"/>
      <c r="AD23" s="11"/>
    </row>
    <row r="24" ht="14.45" customHeight="1">
      <c r="A24" s="27"/>
      <c r="B24" s="48"/>
      <c r="C24" s="49"/>
      <c r="D24" s="36"/>
      <c r="E24" s="37"/>
      <c r="F24" s="37"/>
      <c r="G24" s="37"/>
      <c r="H24" s="38"/>
      <c r="I24" s="33"/>
      <c r="J24" s="11"/>
      <c r="K24" s="11"/>
      <c r="L24" s="11"/>
      <c r="M24" s="11"/>
      <c r="N24" s="11"/>
      <c r="O24" s="11"/>
      <c r="P24" s="11"/>
      <c r="Q24" s="11"/>
      <c r="R24" s="11"/>
      <c r="S24" s="11"/>
      <c r="T24" s="11"/>
      <c r="U24" s="11"/>
      <c r="V24" s="11"/>
      <c r="W24" s="11"/>
      <c r="X24" s="11"/>
      <c r="Y24" s="11"/>
      <c r="Z24" s="11"/>
      <c r="AA24" s="11"/>
      <c r="AB24" s="11"/>
      <c r="AC24" s="11"/>
      <c r="AD24" s="11"/>
    </row>
    <row r="25" ht="27.95" customHeight="1">
      <c r="A25" s="27"/>
      <c r="B25" s="50"/>
      <c r="C25" s="51"/>
      <c r="D25" t="s" s="52">
        <v>14</v>
      </c>
      <c r="E25" s="53"/>
      <c r="F25" s="53"/>
      <c r="G25" s="53"/>
      <c r="H25" s="54"/>
      <c r="I25" s="33"/>
      <c r="J25" s="11"/>
      <c r="K25" s="11"/>
      <c r="L25" s="11"/>
      <c r="M25" s="11"/>
      <c r="N25" s="11"/>
      <c r="O25" s="11"/>
      <c r="P25" s="11"/>
      <c r="Q25" s="11"/>
      <c r="R25" s="11"/>
      <c r="S25" s="11"/>
      <c r="T25" s="11"/>
      <c r="U25" s="11"/>
      <c r="V25" s="11"/>
      <c r="W25" s="11"/>
      <c r="X25" s="11"/>
      <c r="Y25" s="11"/>
      <c r="Z25" s="11"/>
      <c r="AA25" s="11"/>
      <c r="AB25" s="11"/>
      <c r="AC25" s="11"/>
      <c r="AD25" s="11"/>
    </row>
    <row r="26" ht="32.25" customHeight="1">
      <c r="A26" s="27"/>
      <c r="B26" s="55"/>
      <c r="C26" s="56"/>
      <c r="D26" t="s" s="52">
        <v>15</v>
      </c>
      <c r="E26" s="53"/>
      <c r="F26" s="53"/>
      <c r="G26" s="53"/>
      <c r="H26" s="54"/>
      <c r="I26" s="33"/>
      <c r="J26" s="11"/>
      <c r="K26" s="11"/>
      <c r="L26" s="11"/>
      <c r="M26" s="11"/>
      <c r="N26" s="11"/>
      <c r="O26" s="11"/>
      <c r="P26" s="11"/>
      <c r="Q26" s="11"/>
      <c r="R26" s="11"/>
      <c r="S26" s="11"/>
      <c r="T26" s="11"/>
      <c r="U26" s="11"/>
      <c r="V26" s="11"/>
      <c r="W26" s="11"/>
      <c r="X26" s="11"/>
      <c r="Y26" s="11"/>
      <c r="Z26" s="11"/>
      <c r="AA26" s="11"/>
      <c r="AB26" s="11"/>
      <c r="AC26" s="11"/>
      <c r="AD26" s="11"/>
    </row>
    <row r="27" ht="27" customHeight="1">
      <c r="A27" s="27"/>
      <c r="B27" t="s" s="57">
        <v>16</v>
      </c>
      <c r="C27" s="58"/>
      <c r="D27" t="s" s="52">
        <v>17</v>
      </c>
      <c r="E27" s="53"/>
      <c r="F27" s="53"/>
      <c r="G27" s="53"/>
      <c r="H27" s="54"/>
      <c r="I27" s="33"/>
      <c r="J27" s="11"/>
      <c r="K27" s="11"/>
      <c r="L27" s="11"/>
      <c r="M27" s="11"/>
      <c r="N27" s="11"/>
      <c r="O27" s="11"/>
      <c r="P27" s="11"/>
      <c r="Q27" s="11"/>
      <c r="R27" s="11"/>
      <c r="S27" s="11"/>
      <c r="T27" s="11"/>
      <c r="U27" s="11"/>
      <c r="V27" s="11"/>
      <c r="W27" s="11"/>
      <c r="X27" s="11"/>
      <c r="Y27" s="11"/>
      <c r="Z27" s="11"/>
      <c r="AA27" s="11"/>
      <c r="AB27" s="11"/>
      <c r="AC27" s="11"/>
      <c r="AD27" s="11"/>
    </row>
    <row r="28" ht="24" customHeight="1">
      <c r="A28" s="27"/>
      <c r="B28" t="s" s="59">
        <v>18</v>
      </c>
      <c r="C28" s="60"/>
      <c r="D28" t="s" s="61">
        <v>19</v>
      </c>
      <c r="E28" s="62"/>
      <c r="F28" s="62"/>
      <c r="G28" s="62"/>
      <c r="H28" s="63"/>
      <c r="I28" s="33"/>
      <c r="J28" t="s" s="64">
        <v>20</v>
      </c>
      <c r="K28" s="65"/>
      <c r="L28" s="65"/>
      <c r="M28" s="65"/>
      <c r="N28" s="65"/>
      <c r="O28" s="65"/>
      <c r="P28" s="65"/>
      <c r="Q28" s="65"/>
      <c r="R28" s="65"/>
      <c r="S28" s="11"/>
      <c r="T28" s="11"/>
      <c r="U28" s="11"/>
      <c r="V28" s="11"/>
      <c r="W28" s="11"/>
      <c r="X28" s="11"/>
      <c r="Y28" s="11"/>
      <c r="Z28" s="11"/>
      <c r="AA28" s="11"/>
      <c r="AB28" s="11"/>
      <c r="AC28" s="11"/>
      <c r="AD28" s="11"/>
    </row>
    <row r="29" ht="24" customHeight="1">
      <c r="A29" s="27"/>
      <c r="B29" s="66"/>
      <c r="C29" s="67"/>
      <c r="D29" t="s" s="68">
        <v>21</v>
      </c>
      <c r="E29" s="69"/>
      <c r="F29" s="69"/>
      <c r="G29" s="69"/>
      <c r="H29" s="70"/>
      <c r="I29" s="33"/>
      <c r="J29" s="11"/>
      <c r="K29" s="11"/>
      <c r="L29" s="11"/>
      <c r="M29" s="11"/>
      <c r="N29" s="11"/>
      <c r="O29" s="11"/>
      <c r="P29" s="11"/>
      <c r="Q29" s="11"/>
      <c r="R29" s="11"/>
      <c r="S29" s="11"/>
      <c r="T29" s="11"/>
      <c r="U29" s="11"/>
      <c r="V29" s="11"/>
      <c r="W29" s="11"/>
      <c r="X29" s="11"/>
      <c r="Y29" s="11"/>
      <c r="Z29" s="11"/>
      <c r="AA29" s="11"/>
      <c r="AB29" s="11"/>
      <c r="AC29" s="11"/>
      <c r="AD29" s="11"/>
    </row>
    <row r="30" ht="27.75" customHeight="1">
      <c r="A30" s="10"/>
      <c r="B30" s="71"/>
      <c r="C30" s="71"/>
      <c r="D30" s="71"/>
      <c r="E30" s="71"/>
      <c r="F30" s="71"/>
      <c r="G30" s="71"/>
      <c r="H30" s="71"/>
      <c r="I30" s="11"/>
      <c r="J30" s="11"/>
      <c r="K30" s="11"/>
      <c r="L30" s="11"/>
      <c r="M30" s="11"/>
      <c r="N30" s="11"/>
      <c r="O30" s="11"/>
      <c r="P30" s="11"/>
      <c r="Q30" s="11"/>
      <c r="R30" s="11"/>
      <c r="S30" s="11"/>
      <c r="T30" s="11"/>
      <c r="U30" s="11"/>
      <c r="V30" s="11"/>
      <c r="W30" s="11"/>
      <c r="X30" s="11"/>
      <c r="Y30" s="11"/>
      <c r="Z30" s="11"/>
      <c r="AA30" s="11"/>
      <c r="AB30" s="11"/>
      <c r="AC30" s="11"/>
      <c r="AD30" s="11"/>
    </row>
    <row r="31" ht="21.75" customHeight="1">
      <c r="A31" s="10"/>
      <c r="B31" s="11"/>
      <c r="C31" s="11"/>
      <c r="D31" s="11"/>
      <c r="E31" s="11"/>
      <c r="F31" s="11"/>
      <c r="G31" s="11"/>
      <c r="H31" s="11"/>
      <c r="I31" s="11"/>
      <c r="J31" s="11"/>
      <c r="K31" s="11"/>
      <c r="L31" s="11"/>
      <c r="M31" s="11"/>
      <c r="N31" s="11"/>
      <c r="O31" s="11"/>
      <c r="P31" s="11"/>
      <c r="Q31" s="11"/>
      <c r="R31" s="11"/>
      <c r="S31" s="11"/>
      <c r="T31" s="11"/>
      <c r="U31" s="11"/>
      <c r="V31" s="11"/>
      <c r="W31" s="11"/>
      <c r="X31" s="11"/>
      <c r="Y31" s="11"/>
      <c r="Z31" s="11"/>
      <c r="AA31" s="11"/>
      <c r="AB31" s="11"/>
      <c r="AC31" s="11"/>
      <c r="AD31" s="11"/>
    </row>
    <row r="32" ht="15" customHeight="1">
      <c r="A32" s="10"/>
      <c r="B32" s="11"/>
      <c r="C32" s="11"/>
      <c r="D32" s="11"/>
      <c r="E32" s="11"/>
      <c r="F32" s="11"/>
      <c r="G32" s="11"/>
      <c r="H32" s="11"/>
      <c r="I32" s="11"/>
      <c r="J32" s="11"/>
      <c r="K32" s="11"/>
      <c r="L32" s="11"/>
      <c r="M32" s="11"/>
      <c r="N32" s="11"/>
      <c r="O32" s="11"/>
      <c r="P32" s="11"/>
      <c r="Q32" s="11"/>
      <c r="R32" s="11"/>
      <c r="S32" s="11"/>
      <c r="T32" s="11"/>
      <c r="U32" s="11"/>
      <c r="V32" s="11"/>
      <c r="W32" s="11"/>
      <c r="X32" s="11"/>
      <c r="Y32" s="11"/>
      <c r="Z32" s="11"/>
      <c r="AA32" s="11"/>
      <c r="AB32" s="11"/>
      <c r="AC32" s="11"/>
      <c r="AD32" s="11"/>
    </row>
    <row r="33" ht="15.75" customHeight="1">
      <c r="A33" s="10"/>
      <c r="B33" s="11"/>
      <c r="C33" s="11"/>
      <c r="D33" s="11"/>
      <c r="E33" s="11"/>
      <c r="F33" s="11"/>
      <c r="G33" s="11"/>
      <c r="H33" s="11"/>
      <c r="I33" s="11"/>
      <c r="J33" s="11"/>
      <c r="K33" s="11"/>
      <c r="L33" s="11"/>
      <c r="M33" s="11"/>
      <c r="N33" s="11"/>
      <c r="O33" s="11"/>
      <c r="P33" s="11"/>
      <c r="Q33" s="11"/>
      <c r="R33" s="11"/>
      <c r="S33" s="11"/>
      <c r="T33" s="11"/>
      <c r="U33" s="11"/>
      <c r="V33" s="11"/>
      <c r="W33" s="11"/>
      <c r="X33" s="11"/>
      <c r="Y33" s="11"/>
      <c r="Z33" s="11"/>
      <c r="AA33" s="11"/>
      <c r="AB33" s="11"/>
      <c r="AC33" s="11"/>
      <c r="AD33" s="11"/>
    </row>
    <row r="34" ht="15" customHeight="1">
      <c r="A34" s="10"/>
      <c r="B34" s="11"/>
      <c r="C34" s="11"/>
      <c r="D34" s="11"/>
      <c r="E34" s="11"/>
      <c r="F34" s="11"/>
      <c r="G34" s="11"/>
      <c r="H34" s="11"/>
      <c r="I34" s="11"/>
      <c r="J34" s="11"/>
      <c r="K34" s="11"/>
      <c r="L34" s="11"/>
      <c r="M34" s="11"/>
      <c r="N34" s="11"/>
      <c r="O34" s="11"/>
      <c r="P34" s="11"/>
      <c r="Q34" s="11"/>
      <c r="R34" s="11"/>
      <c r="S34" s="11"/>
      <c r="T34" s="11"/>
      <c r="U34" s="11"/>
      <c r="V34" s="11"/>
      <c r="W34" s="11"/>
      <c r="X34" s="11"/>
      <c r="Y34" s="11"/>
      <c r="Z34" s="11"/>
      <c r="AA34" s="11"/>
      <c r="AB34" s="11"/>
      <c r="AC34" s="11"/>
      <c r="AD34" s="11"/>
    </row>
    <row r="35" ht="15.75" customHeight="1">
      <c r="A35" s="10"/>
      <c r="B35" s="11"/>
      <c r="C35" s="11"/>
      <c r="D35" s="11"/>
      <c r="E35" s="11"/>
      <c r="F35" s="11"/>
      <c r="G35" s="11"/>
      <c r="H35" s="11"/>
      <c r="I35" s="11"/>
      <c r="J35" s="11"/>
      <c r="K35" s="11"/>
      <c r="L35" s="11"/>
      <c r="M35" s="11"/>
      <c r="N35" s="11"/>
      <c r="O35" s="11"/>
      <c r="P35" s="11"/>
      <c r="Q35" s="11"/>
      <c r="R35" s="11"/>
      <c r="S35" s="11"/>
      <c r="T35" s="11"/>
      <c r="U35" s="11"/>
      <c r="V35" s="11"/>
      <c r="W35" s="11"/>
      <c r="X35" s="11"/>
      <c r="Y35" s="11"/>
      <c r="Z35" s="11"/>
      <c r="AA35" s="11"/>
      <c r="AB35" s="11"/>
      <c r="AC35" s="11"/>
      <c r="AD35" s="11"/>
    </row>
    <row r="36" ht="15" customHeight="1">
      <c r="A36" s="10"/>
      <c r="B36" s="11"/>
      <c r="C36" s="11"/>
      <c r="D36" s="11"/>
      <c r="E36" s="11"/>
      <c r="F36" s="11"/>
      <c r="G36" s="11"/>
      <c r="H36" s="11"/>
      <c r="I36" s="11"/>
      <c r="J36" s="11"/>
      <c r="K36" s="11"/>
      <c r="L36" s="11"/>
      <c r="M36" s="11"/>
      <c r="N36" s="11"/>
      <c r="O36" s="11"/>
      <c r="P36" s="11"/>
      <c r="Q36" s="11"/>
      <c r="R36" s="11"/>
      <c r="S36" s="11"/>
      <c r="T36" s="11"/>
      <c r="U36" s="11"/>
      <c r="V36" s="11"/>
      <c r="W36" s="11"/>
      <c r="X36" s="11"/>
      <c r="Y36" s="11"/>
      <c r="Z36" s="11"/>
      <c r="AA36" s="11"/>
      <c r="AB36" s="11"/>
      <c r="AC36" s="11"/>
      <c r="AD36" s="11"/>
    </row>
    <row r="37" ht="15" customHeight="1" hidden="1">
      <c r="A37" s="10"/>
      <c r="B37" s="11"/>
      <c r="C37" s="11"/>
      <c r="D37" s="11"/>
      <c r="E37" s="11"/>
      <c r="F37" s="11"/>
      <c r="G37" s="11"/>
      <c r="H37" s="11"/>
      <c r="I37" s="11"/>
      <c r="J37" s="11"/>
      <c r="K37" s="11"/>
      <c r="L37" s="11"/>
      <c r="M37" s="11"/>
      <c r="N37" s="11"/>
      <c r="O37" s="11"/>
      <c r="P37" s="11"/>
      <c r="Q37" s="11"/>
      <c r="R37" s="11"/>
      <c r="S37" s="11"/>
      <c r="T37" s="11"/>
      <c r="U37" s="11"/>
      <c r="V37" s="11"/>
      <c r="W37" s="11"/>
      <c r="X37" s="11"/>
      <c r="Y37" s="11"/>
      <c r="Z37" s="11"/>
      <c r="AA37" s="11"/>
      <c r="AB37" s="11"/>
      <c r="AC37" s="11"/>
      <c r="AD37" s="11"/>
    </row>
    <row r="38" ht="15" customHeight="1" hidden="1">
      <c r="A38" s="10"/>
      <c r="B38" s="11"/>
      <c r="C38" s="11"/>
      <c r="D38" s="11"/>
      <c r="E38" s="11"/>
      <c r="F38" s="11"/>
      <c r="G38" s="11"/>
      <c r="H38" s="11"/>
      <c r="I38" s="11"/>
      <c r="J38" s="11"/>
      <c r="K38" s="11"/>
      <c r="L38" s="11"/>
      <c r="M38" s="11"/>
      <c r="N38" s="11"/>
      <c r="O38" s="11"/>
      <c r="P38" s="11"/>
      <c r="Q38" s="11"/>
      <c r="R38" s="11"/>
      <c r="S38" s="11"/>
      <c r="T38" s="11"/>
      <c r="U38" s="11"/>
      <c r="V38" s="11"/>
      <c r="W38" s="11"/>
      <c r="X38" s="11"/>
      <c r="Y38" s="11"/>
      <c r="Z38" s="11"/>
      <c r="AA38" s="11"/>
      <c r="AB38" s="11"/>
      <c r="AC38" s="11"/>
      <c r="AD38" s="11"/>
    </row>
    <row r="39" ht="15" customHeight="1" hidden="1">
      <c r="A39" s="10"/>
      <c r="B39" s="11"/>
      <c r="C39" s="11"/>
      <c r="D39" s="11"/>
      <c r="E39" s="11"/>
      <c r="F39" s="11"/>
      <c r="G39" s="11"/>
      <c r="H39" s="11"/>
      <c r="I39" s="11"/>
      <c r="J39" s="11"/>
      <c r="K39" s="11"/>
      <c r="L39" s="11"/>
      <c r="M39" s="11"/>
      <c r="N39" s="11"/>
      <c r="O39" s="11"/>
      <c r="P39" s="11"/>
      <c r="Q39" s="11"/>
      <c r="R39" s="11"/>
      <c r="S39" s="11"/>
      <c r="T39" s="11"/>
      <c r="U39" s="11"/>
      <c r="V39" s="11"/>
      <c r="W39" s="11"/>
      <c r="X39" s="11"/>
      <c r="Y39" s="11"/>
      <c r="Z39" s="11"/>
      <c r="AA39" s="11"/>
      <c r="AB39" s="11"/>
      <c r="AC39" s="11"/>
      <c r="AD39" s="11"/>
    </row>
    <row r="40" ht="15" customHeight="1" hidden="1">
      <c r="A40" s="10"/>
      <c r="B40" s="11"/>
      <c r="C40" s="11"/>
      <c r="D40" s="11"/>
      <c r="E40" s="11"/>
      <c r="F40" s="11"/>
      <c r="G40" s="11"/>
      <c r="H40" s="11"/>
      <c r="I40" s="11"/>
      <c r="J40" s="11"/>
      <c r="K40" s="11"/>
      <c r="L40" s="11"/>
      <c r="M40" s="11"/>
      <c r="N40" s="11"/>
      <c r="O40" s="11"/>
      <c r="P40" s="11"/>
      <c r="Q40" s="11"/>
      <c r="R40" s="11"/>
      <c r="S40" s="11"/>
      <c r="T40" s="11"/>
      <c r="U40" s="11"/>
      <c r="V40" s="11"/>
      <c r="W40" s="11"/>
      <c r="X40" s="11"/>
      <c r="Y40" s="11"/>
      <c r="Z40" s="11"/>
      <c r="AA40" s="11"/>
      <c r="AB40" s="11"/>
      <c r="AC40" s="11"/>
      <c r="AD40" s="11"/>
    </row>
    <row r="41" ht="15" customHeight="1" hidden="1">
      <c r="A41" s="10"/>
      <c r="B41" s="11"/>
      <c r="C41" s="11"/>
      <c r="D41" s="11"/>
      <c r="E41" s="11"/>
      <c r="F41" s="11"/>
      <c r="G41" s="11"/>
      <c r="H41" s="11"/>
      <c r="I41" s="11"/>
      <c r="J41" s="11"/>
      <c r="K41" s="11"/>
      <c r="L41" s="11"/>
      <c r="M41" s="11"/>
      <c r="N41" s="11"/>
      <c r="O41" s="11"/>
      <c r="P41" s="11"/>
      <c r="Q41" s="11"/>
      <c r="R41" s="11"/>
      <c r="S41" s="11"/>
      <c r="T41" s="11"/>
      <c r="U41" s="11"/>
      <c r="V41" s="11"/>
      <c r="W41" s="11"/>
      <c r="X41" s="11"/>
      <c r="Y41" s="11"/>
      <c r="Z41" s="11"/>
      <c r="AA41" s="11"/>
      <c r="AB41" s="11"/>
      <c r="AC41" s="11"/>
      <c r="AD41" s="11"/>
    </row>
    <row r="42" ht="15" customHeight="1" hidden="1">
      <c r="A42" s="10"/>
      <c r="B42" s="11"/>
      <c r="C42" s="11"/>
      <c r="D42" s="11"/>
      <c r="E42" s="11"/>
      <c r="F42" s="11"/>
      <c r="G42" s="11"/>
      <c r="H42" s="11"/>
      <c r="I42" s="11"/>
      <c r="J42" s="11"/>
      <c r="K42" s="11"/>
      <c r="L42" s="11"/>
      <c r="M42" s="11"/>
      <c r="N42" s="11"/>
      <c r="O42" s="11"/>
      <c r="P42" s="11"/>
      <c r="Q42" s="11"/>
      <c r="R42" s="11"/>
      <c r="S42" s="11"/>
      <c r="T42" s="11"/>
      <c r="U42" s="11"/>
      <c r="V42" s="11"/>
      <c r="W42" s="11"/>
      <c r="X42" s="11"/>
      <c r="Y42" s="11"/>
      <c r="Z42" s="11"/>
      <c r="AA42" s="11"/>
      <c r="AB42" s="11"/>
      <c r="AC42" s="11"/>
      <c r="AD42" s="11"/>
    </row>
    <row r="43" ht="15" customHeight="1" hidden="1">
      <c r="A43" s="10"/>
      <c r="B43" s="11"/>
      <c r="C43" s="11"/>
      <c r="D43" s="11"/>
      <c r="E43" s="11"/>
      <c r="F43" s="11"/>
      <c r="G43" s="11"/>
      <c r="H43" s="11"/>
      <c r="I43" s="11"/>
      <c r="J43" s="11"/>
      <c r="K43" s="11"/>
      <c r="L43" s="11"/>
      <c r="M43" s="11"/>
      <c r="N43" s="11"/>
      <c r="O43" s="11"/>
      <c r="P43" s="11"/>
      <c r="Q43" s="11"/>
      <c r="R43" s="11"/>
      <c r="S43" s="11"/>
      <c r="T43" s="11"/>
      <c r="U43" s="11"/>
      <c r="V43" s="11"/>
      <c r="W43" s="11"/>
      <c r="X43" s="11"/>
      <c r="Y43" s="11"/>
      <c r="Z43" s="11"/>
      <c r="AA43" s="11"/>
      <c r="AB43" s="11"/>
      <c r="AC43" s="11"/>
      <c r="AD43" s="11"/>
    </row>
    <row r="44" ht="15" customHeight="1" hidden="1">
      <c r="A44" s="10"/>
      <c r="B44" s="11"/>
      <c r="C44" s="11"/>
      <c r="D44" s="11"/>
      <c r="E44" s="11"/>
      <c r="F44" s="11"/>
      <c r="G44" s="11"/>
      <c r="H44" s="11"/>
      <c r="I44" s="11"/>
      <c r="J44" s="11"/>
      <c r="K44" s="11"/>
      <c r="L44" s="11"/>
      <c r="M44" s="11"/>
      <c r="N44" s="11"/>
      <c r="O44" s="11"/>
      <c r="P44" s="11"/>
      <c r="Q44" s="11"/>
      <c r="R44" s="11"/>
      <c r="S44" s="11"/>
      <c r="T44" s="11"/>
      <c r="U44" s="11"/>
      <c r="V44" s="11"/>
      <c r="W44" s="11"/>
      <c r="X44" s="11"/>
      <c r="Y44" s="11"/>
      <c r="Z44" s="11"/>
      <c r="AA44" s="11"/>
      <c r="AB44" s="11"/>
      <c r="AC44" s="11"/>
      <c r="AD44" s="11"/>
    </row>
    <row r="45" ht="15" customHeight="1" hidden="1">
      <c r="A45" s="10"/>
      <c r="B45" s="11"/>
      <c r="C45" s="11"/>
      <c r="D45" s="11"/>
      <c r="E45" s="11"/>
      <c r="F45" s="11"/>
      <c r="G45" s="11"/>
      <c r="H45" s="11"/>
      <c r="I45" s="11"/>
      <c r="J45" s="11"/>
      <c r="K45" s="11"/>
      <c r="L45" s="11"/>
      <c r="M45" s="11"/>
      <c r="N45" s="11"/>
      <c r="O45" s="11"/>
      <c r="P45" s="11"/>
      <c r="Q45" s="11"/>
      <c r="R45" s="11"/>
      <c r="S45" s="11"/>
      <c r="T45" s="11"/>
      <c r="U45" s="11"/>
      <c r="V45" s="11"/>
      <c r="W45" s="11"/>
      <c r="X45" s="11"/>
      <c r="Y45" s="11"/>
      <c r="Z45" s="11"/>
      <c r="AA45" s="11"/>
      <c r="AB45" s="11"/>
      <c r="AC45" s="11"/>
      <c r="AD45" s="11"/>
    </row>
    <row r="46" ht="15" customHeight="1" hidden="1">
      <c r="A46" s="10"/>
      <c r="B46" s="11"/>
      <c r="C46" s="11"/>
      <c r="D46" s="11"/>
      <c r="E46" s="11"/>
      <c r="F46" s="11"/>
      <c r="G46" s="11"/>
      <c r="H46" s="11"/>
      <c r="I46" s="11"/>
      <c r="J46" s="11"/>
      <c r="K46" s="11"/>
      <c r="L46" s="11"/>
      <c r="M46" s="11"/>
      <c r="N46" s="11"/>
      <c r="O46" s="11"/>
      <c r="P46" s="11"/>
      <c r="Q46" s="11"/>
      <c r="R46" s="11"/>
      <c r="S46" s="11"/>
      <c r="T46" s="11"/>
      <c r="U46" s="11"/>
      <c r="V46" s="11"/>
      <c r="W46" s="11"/>
      <c r="X46" s="11"/>
      <c r="Y46" s="11"/>
      <c r="Z46" s="11"/>
      <c r="AA46" s="11"/>
      <c r="AB46" s="11"/>
      <c r="AC46" s="11"/>
      <c r="AD46" s="11"/>
    </row>
    <row r="47" ht="15" customHeight="1" hidden="1">
      <c r="A47" s="10"/>
      <c r="B47" s="11"/>
      <c r="C47" s="11"/>
      <c r="D47" s="11"/>
      <c r="E47" s="11"/>
      <c r="F47" s="11"/>
      <c r="G47" s="11"/>
      <c r="H47" s="11"/>
      <c r="I47" s="11"/>
      <c r="J47" s="11"/>
      <c r="K47" s="11"/>
      <c r="L47" s="11"/>
      <c r="M47" s="11"/>
      <c r="N47" s="11"/>
      <c r="O47" s="11"/>
      <c r="P47" s="11"/>
      <c r="Q47" s="11"/>
      <c r="R47" s="11"/>
      <c r="S47" s="11"/>
      <c r="T47" s="11"/>
      <c r="U47" s="11"/>
      <c r="V47" s="11"/>
      <c r="W47" s="11"/>
      <c r="X47" s="11"/>
      <c r="Y47" s="11"/>
      <c r="Z47" s="11"/>
      <c r="AA47" s="11"/>
      <c r="AB47" s="11"/>
      <c r="AC47" s="11"/>
      <c r="AD47" s="11"/>
    </row>
    <row r="48" ht="15" customHeight="1" hidden="1">
      <c r="A48" s="10"/>
      <c r="B48" s="11"/>
      <c r="C48" s="11"/>
      <c r="D48" s="11"/>
      <c r="E48" s="11"/>
      <c r="F48" s="11"/>
      <c r="G48" s="11"/>
      <c r="H48" s="11"/>
      <c r="I48" s="11"/>
      <c r="J48" s="11"/>
      <c r="K48" s="11"/>
      <c r="L48" s="11"/>
      <c r="M48" s="11"/>
      <c r="N48" s="11"/>
      <c r="O48" s="11"/>
      <c r="P48" s="11"/>
      <c r="Q48" s="11"/>
      <c r="R48" s="11"/>
      <c r="S48" s="11"/>
      <c r="T48" s="11"/>
      <c r="U48" s="11"/>
      <c r="V48" s="11"/>
      <c r="W48" s="11"/>
      <c r="X48" s="11"/>
      <c r="Y48" s="11"/>
      <c r="Z48" s="11"/>
      <c r="AA48" s="11"/>
      <c r="AB48" s="11"/>
      <c r="AC48" s="11"/>
      <c r="AD48" s="11"/>
    </row>
    <row r="49" ht="15" customHeight="1" hidden="1">
      <c r="A49" s="10"/>
      <c r="B49" s="11"/>
      <c r="C49" s="11"/>
      <c r="D49" s="11"/>
      <c r="E49" s="11"/>
      <c r="F49" s="11"/>
      <c r="G49" s="11"/>
      <c r="H49" s="11"/>
      <c r="I49" s="11"/>
      <c r="J49" s="11"/>
      <c r="K49" s="11"/>
      <c r="L49" s="11"/>
      <c r="M49" s="11"/>
      <c r="N49" s="11"/>
      <c r="O49" s="11"/>
      <c r="P49" s="11"/>
      <c r="Q49" s="11"/>
      <c r="R49" s="11"/>
      <c r="S49" s="11"/>
      <c r="T49" s="11"/>
      <c r="U49" s="11"/>
      <c r="V49" s="11"/>
      <c r="W49" s="11"/>
      <c r="X49" s="11"/>
      <c r="Y49" s="11"/>
      <c r="Z49" s="11"/>
      <c r="AA49" s="11"/>
      <c r="AB49" s="11"/>
      <c r="AC49" s="11"/>
      <c r="AD49" s="11"/>
    </row>
    <row r="50" ht="15" customHeight="1" hidden="1">
      <c r="A50" s="10"/>
      <c r="B50" s="11"/>
      <c r="C50" s="11"/>
      <c r="D50" s="11"/>
      <c r="E50" s="11"/>
      <c r="F50" s="11"/>
      <c r="G50" s="11"/>
      <c r="H50" s="11"/>
      <c r="I50" s="11"/>
      <c r="J50" s="11"/>
      <c r="K50" s="11"/>
      <c r="L50" s="11"/>
      <c r="M50" s="11"/>
      <c r="N50" s="11"/>
      <c r="O50" s="11"/>
      <c r="P50" s="11"/>
      <c r="Q50" s="11"/>
      <c r="R50" s="11"/>
      <c r="S50" s="11"/>
      <c r="T50" s="11"/>
      <c r="U50" s="11"/>
      <c r="V50" s="11"/>
      <c r="W50" s="11"/>
      <c r="X50" s="11"/>
      <c r="Y50" s="11"/>
      <c r="Z50" s="11"/>
      <c r="AA50" s="11"/>
      <c r="AB50" s="11"/>
      <c r="AC50" s="11"/>
      <c r="AD50" s="11"/>
    </row>
    <row r="51" ht="15" customHeight="1" hidden="1">
      <c r="A51" s="10"/>
      <c r="B51" s="11"/>
      <c r="C51" s="11"/>
      <c r="D51" s="11"/>
      <c r="E51" s="11"/>
      <c r="F51" s="11"/>
      <c r="G51" s="11"/>
      <c r="H51" s="11"/>
      <c r="I51" s="11"/>
      <c r="J51" s="11"/>
      <c r="K51" s="11"/>
      <c r="L51" s="11"/>
      <c r="M51" s="11"/>
      <c r="N51" s="11"/>
      <c r="O51" s="11"/>
      <c r="P51" s="11"/>
      <c r="Q51" s="11"/>
      <c r="R51" s="11"/>
      <c r="S51" s="11"/>
      <c r="T51" s="11"/>
      <c r="U51" s="11"/>
      <c r="V51" s="11"/>
      <c r="W51" s="11"/>
      <c r="X51" s="11"/>
      <c r="Y51" s="11"/>
      <c r="Z51" s="11"/>
      <c r="AA51" s="11"/>
      <c r="AB51" s="11"/>
      <c r="AC51" s="11"/>
      <c r="AD51" s="11"/>
    </row>
    <row r="52" ht="15" customHeight="1" hidden="1">
      <c r="A52" s="10"/>
      <c r="B52" s="11"/>
      <c r="C52" s="11"/>
      <c r="D52" s="11"/>
      <c r="E52" s="11"/>
      <c r="F52" s="11"/>
      <c r="G52" s="11"/>
      <c r="H52" s="11"/>
      <c r="I52" s="11"/>
      <c r="J52" s="11"/>
      <c r="K52" s="11"/>
      <c r="L52" s="11"/>
      <c r="M52" s="11"/>
      <c r="N52" s="11"/>
      <c r="O52" s="11"/>
      <c r="P52" s="11"/>
      <c r="Q52" s="11"/>
      <c r="R52" s="11"/>
      <c r="S52" s="11"/>
      <c r="T52" s="11"/>
      <c r="U52" s="11"/>
      <c r="V52" s="11"/>
      <c r="W52" s="11"/>
      <c r="X52" s="11"/>
      <c r="Y52" s="11"/>
      <c r="Z52" s="11"/>
      <c r="AA52" s="11"/>
      <c r="AB52" s="11"/>
      <c r="AC52" s="11"/>
      <c r="AD52" s="11"/>
    </row>
    <row r="53" ht="15" customHeight="1" hidden="1">
      <c r="A53" s="10"/>
      <c r="B53" s="11"/>
      <c r="C53" s="11"/>
      <c r="D53" s="11"/>
      <c r="E53" s="11"/>
      <c r="F53" s="11"/>
      <c r="G53" s="11"/>
      <c r="H53" s="11"/>
      <c r="I53" s="11"/>
      <c r="J53" s="11"/>
      <c r="K53" s="11"/>
      <c r="L53" s="11"/>
      <c r="M53" s="11"/>
      <c r="N53" s="11"/>
      <c r="O53" s="11"/>
      <c r="P53" s="11"/>
      <c r="Q53" s="11"/>
      <c r="R53" s="11"/>
      <c r="S53" s="11"/>
      <c r="T53" s="11"/>
      <c r="U53" s="11"/>
      <c r="V53" s="11"/>
      <c r="W53" s="11"/>
      <c r="X53" s="11"/>
      <c r="Y53" s="11"/>
      <c r="Z53" s="11"/>
      <c r="AA53" s="11"/>
      <c r="AB53" s="11"/>
      <c r="AC53" s="11"/>
      <c r="AD53" s="11"/>
    </row>
    <row r="54" ht="15" customHeight="1" hidden="1">
      <c r="A54" s="10"/>
      <c r="B54" s="11"/>
      <c r="C54" s="11"/>
      <c r="D54" s="11"/>
      <c r="E54" s="11"/>
      <c r="F54" s="11"/>
      <c r="G54" s="11"/>
      <c r="H54" s="11"/>
      <c r="I54" s="11"/>
      <c r="J54" s="11"/>
      <c r="K54" s="11"/>
      <c r="L54" s="11"/>
      <c r="M54" s="11"/>
      <c r="N54" s="11"/>
      <c r="O54" s="11"/>
      <c r="P54" s="11"/>
      <c r="Q54" s="11"/>
      <c r="R54" s="11"/>
      <c r="S54" s="11"/>
      <c r="T54" s="11"/>
      <c r="U54" s="11"/>
      <c r="V54" s="11"/>
      <c r="W54" s="11"/>
      <c r="X54" s="11"/>
      <c r="Y54" s="11"/>
      <c r="Z54" s="11"/>
      <c r="AA54" s="11"/>
      <c r="AB54" s="11"/>
      <c r="AC54" s="11"/>
      <c r="AD54" s="11"/>
    </row>
    <row r="55" ht="15" customHeight="1" hidden="1">
      <c r="A55" s="10"/>
      <c r="B55" s="11"/>
      <c r="C55" s="11"/>
      <c r="D55" s="11"/>
      <c r="E55" s="11"/>
      <c r="F55" s="11"/>
      <c r="G55" s="11"/>
      <c r="H55" s="11"/>
      <c r="I55" s="11"/>
      <c r="J55" s="11"/>
      <c r="K55" s="11"/>
      <c r="L55" s="11"/>
      <c r="M55" s="11"/>
      <c r="N55" s="11"/>
      <c r="O55" s="11"/>
      <c r="P55" s="11"/>
      <c r="Q55" s="11"/>
      <c r="R55" s="11"/>
      <c r="S55" s="11"/>
      <c r="T55" s="11"/>
      <c r="U55" s="11"/>
      <c r="V55" s="11"/>
      <c r="W55" s="11"/>
      <c r="X55" s="11"/>
      <c r="Y55" s="11"/>
      <c r="Z55" s="11"/>
      <c r="AA55" s="11"/>
      <c r="AB55" s="11"/>
      <c r="AC55" s="11"/>
      <c r="AD55" s="11"/>
    </row>
    <row r="56" ht="15" customHeight="1" hidden="1">
      <c r="A56" s="10"/>
      <c r="B56" s="11"/>
      <c r="C56" s="11"/>
      <c r="D56" s="11"/>
      <c r="E56" s="11"/>
      <c r="F56" s="11"/>
      <c r="G56" s="11"/>
      <c r="H56" s="11"/>
      <c r="I56" s="11"/>
      <c r="J56" s="11"/>
      <c r="K56" s="11"/>
      <c r="L56" s="11"/>
      <c r="M56" s="11"/>
      <c r="N56" s="11"/>
      <c r="O56" s="11"/>
      <c r="P56" s="11"/>
      <c r="Q56" s="11"/>
      <c r="R56" s="11"/>
      <c r="S56" s="11"/>
      <c r="T56" s="11"/>
      <c r="U56" s="11"/>
      <c r="V56" s="11"/>
      <c r="W56" s="11"/>
      <c r="X56" s="11"/>
      <c r="Y56" s="11"/>
      <c r="Z56" s="11"/>
      <c r="AA56" s="11"/>
      <c r="AB56" s="11"/>
      <c r="AC56" s="11"/>
      <c r="AD56" s="11"/>
    </row>
    <row r="57" ht="15" customHeight="1" hidden="1">
      <c r="A57" s="10"/>
      <c r="B57" s="11"/>
      <c r="C57" s="11"/>
      <c r="D57" s="11"/>
      <c r="E57" s="11"/>
      <c r="F57" s="11"/>
      <c r="G57" s="11"/>
      <c r="H57" s="11"/>
      <c r="I57" s="11"/>
      <c r="J57" s="11"/>
      <c r="K57" s="11"/>
      <c r="L57" s="11"/>
      <c r="M57" s="11"/>
      <c r="N57" s="11"/>
      <c r="O57" s="11"/>
      <c r="P57" s="11"/>
      <c r="Q57" s="11"/>
      <c r="R57" s="11"/>
      <c r="S57" s="11"/>
      <c r="T57" s="11"/>
      <c r="U57" s="11"/>
      <c r="V57" s="11"/>
      <c r="W57" s="11"/>
      <c r="X57" s="11"/>
      <c r="Y57" s="11"/>
      <c r="Z57" s="11"/>
      <c r="AA57" s="11"/>
      <c r="AB57" s="11"/>
      <c r="AC57" s="11"/>
      <c r="AD57" s="11"/>
    </row>
    <row r="58" ht="15" customHeight="1" hidden="1">
      <c r="A58" s="10"/>
      <c r="B58" s="11"/>
      <c r="C58" s="11"/>
      <c r="D58" s="11"/>
      <c r="E58" s="11"/>
      <c r="F58" s="11"/>
      <c r="G58" s="11"/>
      <c r="H58" s="11"/>
      <c r="I58" s="11"/>
      <c r="J58" s="11"/>
      <c r="K58" s="11"/>
      <c r="L58" s="11"/>
      <c r="M58" s="11"/>
      <c r="N58" s="11"/>
      <c r="O58" s="11"/>
      <c r="P58" s="11"/>
      <c r="Q58" s="11"/>
      <c r="R58" s="11"/>
      <c r="S58" s="11"/>
      <c r="T58" s="11"/>
      <c r="U58" s="11"/>
      <c r="V58" s="11"/>
      <c r="W58" s="11"/>
      <c r="X58" s="11"/>
      <c r="Y58" s="11"/>
      <c r="Z58" s="11"/>
      <c r="AA58" s="11"/>
      <c r="AB58" s="11"/>
      <c r="AC58" s="11"/>
      <c r="AD58" s="11"/>
    </row>
    <row r="59" ht="15" customHeight="1" hidden="1">
      <c r="A59" s="10"/>
      <c r="B59" s="11"/>
      <c r="C59" s="11"/>
      <c r="D59" s="11"/>
      <c r="E59" s="11"/>
      <c r="F59" s="11"/>
      <c r="G59" s="11"/>
      <c r="H59" s="11"/>
      <c r="I59" s="11"/>
      <c r="J59" s="11"/>
      <c r="K59" s="11"/>
      <c r="L59" s="11"/>
      <c r="M59" s="11"/>
      <c r="N59" s="11"/>
      <c r="O59" s="11"/>
      <c r="P59" s="11"/>
      <c r="Q59" s="11"/>
      <c r="R59" s="11"/>
      <c r="S59" s="11"/>
      <c r="T59" s="11"/>
      <c r="U59" s="11"/>
      <c r="V59" s="11"/>
      <c r="W59" s="11"/>
      <c r="X59" s="11"/>
      <c r="Y59" s="11"/>
      <c r="Z59" s="11"/>
      <c r="AA59" s="11"/>
      <c r="AB59" s="11"/>
      <c r="AC59" s="11"/>
      <c r="AD59" s="11"/>
    </row>
    <row r="60" ht="15" customHeight="1" hidden="1">
      <c r="A60" s="10"/>
      <c r="B60" s="11"/>
      <c r="C60" s="11"/>
      <c r="D60" s="11"/>
      <c r="E60" s="11"/>
      <c r="F60" s="11"/>
      <c r="G60" s="11"/>
      <c r="H60" s="11"/>
      <c r="I60" s="11"/>
      <c r="J60" s="11"/>
      <c r="K60" s="11"/>
      <c r="L60" s="11"/>
      <c r="M60" s="11"/>
      <c r="N60" s="11"/>
      <c r="O60" s="11"/>
      <c r="P60" s="11"/>
      <c r="Q60" s="11"/>
      <c r="R60" s="11"/>
      <c r="S60" s="11"/>
      <c r="T60" s="11"/>
      <c r="U60" s="11"/>
      <c r="V60" s="11"/>
      <c r="W60" s="11"/>
      <c r="X60" s="11"/>
      <c r="Y60" s="11"/>
      <c r="Z60" s="11"/>
      <c r="AA60" s="11"/>
      <c r="AB60" s="11"/>
      <c r="AC60" s="11"/>
      <c r="AD60" s="11"/>
    </row>
    <row r="61" ht="15" customHeight="1" hidden="1">
      <c r="A61" s="10"/>
      <c r="B61" s="11"/>
      <c r="C61" s="11"/>
      <c r="D61" s="11"/>
      <c r="E61" s="11"/>
      <c r="F61" s="11"/>
      <c r="G61" s="11"/>
      <c r="H61" s="11"/>
      <c r="I61" s="11"/>
      <c r="J61" s="11"/>
      <c r="K61" s="11"/>
      <c r="L61" s="11"/>
      <c r="M61" s="11"/>
      <c r="N61" s="11"/>
      <c r="O61" s="11"/>
      <c r="P61" s="11"/>
      <c r="Q61" s="11"/>
      <c r="R61" s="11"/>
      <c r="S61" s="11"/>
      <c r="T61" s="11"/>
      <c r="U61" s="11"/>
      <c r="V61" s="11"/>
      <c r="W61" s="11"/>
      <c r="X61" s="11"/>
      <c r="Y61" s="11"/>
      <c r="Z61" s="11"/>
      <c r="AA61" s="11"/>
      <c r="AB61" s="11"/>
      <c r="AC61" s="11"/>
      <c r="AD61" s="11"/>
    </row>
    <row r="62" ht="15" customHeight="1" hidden="1">
      <c r="A62" s="10"/>
      <c r="B62" s="11"/>
      <c r="C62" s="11"/>
      <c r="D62" s="11"/>
      <c r="E62" s="11"/>
      <c r="F62" s="11"/>
      <c r="G62" s="11"/>
      <c r="H62" s="11"/>
      <c r="I62" s="11"/>
      <c r="J62" s="11"/>
      <c r="K62" s="11"/>
      <c r="L62" s="11"/>
      <c r="M62" s="11"/>
      <c r="N62" s="11"/>
      <c r="O62" s="11"/>
      <c r="P62" s="11"/>
      <c r="Q62" s="11"/>
      <c r="R62" s="11"/>
      <c r="S62" s="11"/>
      <c r="T62" s="11"/>
      <c r="U62" s="11"/>
      <c r="V62" s="11"/>
      <c r="W62" s="11"/>
      <c r="X62" s="11"/>
      <c r="Y62" s="11"/>
      <c r="Z62" s="11"/>
      <c r="AA62" s="11"/>
      <c r="AB62" s="11"/>
      <c r="AC62" s="11"/>
      <c r="AD62" s="11"/>
    </row>
    <row r="63" ht="15" customHeight="1" hidden="1">
      <c r="A63" s="10"/>
      <c r="B63" s="11"/>
      <c r="C63" s="11"/>
      <c r="D63" s="11"/>
      <c r="E63" s="11"/>
      <c r="F63" s="11"/>
      <c r="G63" s="11"/>
      <c r="H63" s="11"/>
      <c r="I63" s="11"/>
      <c r="J63" s="11"/>
      <c r="K63" s="11"/>
      <c r="L63" s="11"/>
      <c r="M63" s="11"/>
      <c r="N63" s="11"/>
      <c r="O63" s="11"/>
      <c r="P63" s="11"/>
      <c r="Q63" s="11"/>
      <c r="R63" s="11"/>
      <c r="S63" s="11"/>
      <c r="T63" s="11"/>
      <c r="U63" s="11"/>
      <c r="V63" s="11"/>
      <c r="W63" s="11"/>
      <c r="X63" s="11"/>
      <c r="Y63" s="11"/>
      <c r="Z63" s="11"/>
      <c r="AA63" s="11"/>
      <c r="AB63" s="11"/>
      <c r="AC63" s="11"/>
      <c r="AD63" s="11"/>
    </row>
    <row r="64" ht="15" customHeight="1" hidden="1">
      <c r="A64" s="10"/>
      <c r="B64" s="11"/>
      <c r="C64" s="11"/>
      <c r="D64" s="11"/>
      <c r="E64" s="11"/>
      <c r="F64" s="11"/>
      <c r="G64" s="11"/>
      <c r="H64" s="11"/>
      <c r="I64" s="11"/>
      <c r="J64" s="11"/>
      <c r="K64" s="11"/>
      <c r="L64" s="11"/>
      <c r="M64" s="11"/>
      <c r="N64" s="11"/>
      <c r="O64" s="11"/>
      <c r="P64" s="11"/>
      <c r="Q64" s="11"/>
      <c r="R64" s="11"/>
      <c r="S64" s="11"/>
      <c r="T64" s="11"/>
      <c r="U64" s="11"/>
      <c r="V64" s="11"/>
      <c r="W64" s="11"/>
      <c r="X64" s="11"/>
      <c r="Y64" s="11"/>
      <c r="Z64" s="11"/>
      <c r="AA64" s="11"/>
      <c r="AB64" s="11"/>
      <c r="AC64" s="11"/>
      <c r="AD64" s="11"/>
    </row>
    <row r="65" ht="15" customHeight="1" hidden="1">
      <c r="A65" s="10"/>
      <c r="B65" s="11"/>
      <c r="C65" s="11"/>
      <c r="D65" s="11"/>
      <c r="E65" s="11"/>
      <c r="F65" s="11"/>
      <c r="G65" s="11"/>
      <c r="H65" s="11"/>
      <c r="I65" s="11"/>
      <c r="J65" s="11"/>
      <c r="K65" s="11"/>
      <c r="L65" s="11"/>
      <c r="M65" s="11"/>
      <c r="N65" s="11"/>
      <c r="O65" s="11"/>
      <c r="P65" s="11"/>
      <c r="Q65" s="11"/>
      <c r="R65" s="11"/>
      <c r="S65" s="11"/>
      <c r="T65" s="11"/>
      <c r="U65" s="11"/>
      <c r="V65" s="11"/>
      <c r="W65" s="11"/>
      <c r="X65" s="11"/>
      <c r="Y65" s="11"/>
      <c r="Z65" s="11"/>
      <c r="AA65" s="11"/>
      <c r="AB65" s="11"/>
      <c r="AC65" s="11"/>
      <c r="AD65" s="11"/>
    </row>
    <row r="66" ht="15" customHeight="1" hidden="1">
      <c r="A66" s="10"/>
      <c r="B66" s="11"/>
      <c r="C66" s="11"/>
      <c r="D66" s="11"/>
      <c r="E66" s="11"/>
      <c r="F66" s="11"/>
      <c r="G66" s="11"/>
      <c r="H66" s="11"/>
      <c r="I66" s="11"/>
      <c r="J66" s="11"/>
      <c r="K66" s="11"/>
      <c r="L66" s="11"/>
      <c r="M66" s="11"/>
      <c r="N66" s="11"/>
      <c r="O66" s="11"/>
      <c r="P66" s="11"/>
      <c r="Q66" s="11"/>
      <c r="R66" s="11"/>
      <c r="S66" s="11"/>
      <c r="T66" s="11"/>
      <c r="U66" s="11"/>
      <c r="V66" s="11"/>
      <c r="W66" s="11"/>
      <c r="X66" s="11"/>
      <c r="Y66" s="11"/>
      <c r="Z66" s="11"/>
      <c r="AA66" s="11"/>
      <c r="AB66" s="11"/>
      <c r="AC66" s="11"/>
      <c r="AD66" s="11"/>
    </row>
    <row r="67" ht="15" customHeight="1" hidden="1">
      <c r="A67" s="10"/>
      <c r="B67" s="11"/>
      <c r="C67" s="11"/>
      <c r="D67" s="11"/>
      <c r="E67" s="11"/>
      <c r="F67" s="11"/>
      <c r="G67" s="11"/>
      <c r="H67" s="11"/>
      <c r="I67" s="11"/>
      <c r="J67" s="11"/>
      <c r="K67" s="11"/>
      <c r="L67" s="11"/>
      <c r="M67" s="11"/>
      <c r="N67" s="11"/>
      <c r="O67" s="11"/>
      <c r="P67" s="11"/>
      <c r="Q67" s="11"/>
      <c r="R67" s="11"/>
      <c r="S67" s="11"/>
      <c r="T67" s="11"/>
      <c r="U67" s="11"/>
      <c r="V67" s="11"/>
      <c r="W67" s="11"/>
      <c r="X67" s="11"/>
      <c r="Y67" s="11"/>
      <c r="Z67" s="11"/>
      <c r="AA67" s="11"/>
      <c r="AB67" s="11"/>
      <c r="AC67" s="11"/>
      <c r="AD67" s="11"/>
    </row>
    <row r="68" ht="15" customHeight="1" hidden="1">
      <c r="A68" s="10"/>
      <c r="B68" s="11"/>
      <c r="C68" s="11"/>
      <c r="D68" s="11"/>
      <c r="E68" s="11"/>
      <c r="F68" s="11"/>
      <c r="G68" s="11"/>
      <c r="H68" s="11"/>
      <c r="I68" s="11"/>
      <c r="J68" s="11"/>
      <c r="K68" s="11"/>
      <c r="L68" s="11"/>
      <c r="M68" s="11"/>
      <c r="N68" s="11"/>
      <c r="O68" s="11"/>
      <c r="P68" s="11"/>
      <c r="Q68" s="11"/>
      <c r="R68" s="11"/>
      <c r="S68" s="11"/>
      <c r="T68" s="11"/>
      <c r="U68" s="11"/>
      <c r="V68" s="11"/>
      <c r="W68" s="11"/>
      <c r="X68" s="11"/>
      <c r="Y68" s="11"/>
      <c r="Z68" s="11"/>
      <c r="AA68" s="11"/>
      <c r="AB68" s="11"/>
      <c r="AC68" s="11"/>
      <c r="AD68" s="11"/>
    </row>
    <row r="69" ht="15" customHeight="1" hidden="1">
      <c r="A69" s="10"/>
      <c r="B69" s="11"/>
      <c r="C69" s="11"/>
      <c r="D69" s="11"/>
      <c r="E69" s="11"/>
      <c r="F69" s="11"/>
      <c r="G69" s="11"/>
      <c r="H69" s="11"/>
      <c r="I69" s="11"/>
      <c r="J69" s="11"/>
      <c r="K69" s="11"/>
      <c r="L69" s="11"/>
      <c r="M69" s="11"/>
      <c r="N69" s="11"/>
      <c r="O69" s="11"/>
      <c r="P69" s="11"/>
      <c r="Q69" s="11"/>
      <c r="R69" s="11"/>
      <c r="S69" s="11"/>
      <c r="T69" s="11"/>
      <c r="U69" s="11"/>
      <c r="V69" s="11"/>
      <c r="W69" s="11"/>
      <c r="X69" s="11"/>
      <c r="Y69" s="11"/>
      <c r="Z69" s="11"/>
      <c r="AA69" s="11"/>
      <c r="AB69" s="11"/>
      <c r="AC69" s="11"/>
      <c r="AD69" s="11"/>
    </row>
    <row r="70" ht="15" customHeight="1" hidden="1">
      <c r="A70" s="10"/>
      <c r="B70" s="11"/>
      <c r="C70" s="11"/>
      <c r="D70" s="11"/>
      <c r="E70" s="11"/>
      <c r="F70" s="11"/>
      <c r="G70" s="11"/>
      <c r="H70" s="11"/>
      <c r="I70" s="11"/>
      <c r="J70" s="11"/>
      <c r="K70" s="11"/>
      <c r="L70" s="11"/>
      <c r="M70" s="11"/>
      <c r="N70" s="11"/>
      <c r="O70" s="11"/>
      <c r="P70" s="11"/>
      <c r="Q70" s="11"/>
      <c r="R70" s="11"/>
      <c r="S70" s="11"/>
      <c r="T70" s="11"/>
      <c r="U70" s="11"/>
      <c r="V70" s="11"/>
      <c r="W70" s="11"/>
      <c r="X70" s="11"/>
      <c r="Y70" s="11"/>
      <c r="Z70" s="11"/>
      <c r="AA70" s="11"/>
      <c r="AB70" s="11"/>
      <c r="AC70" s="11"/>
      <c r="AD70" s="11"/>
    </row>
    <row r="71" ht="15" customHeight="1" hidden="1">
      <c r="A71" s="10"/>
      <c r="B71" s="11"/>
      <c r="C71" s="11"/>
      <c r="D71" s="11"/>
      <c r="E71" s="11"/>
      <c r="F71" s="11"/>
      <c r="G71" s="11"/>
      <c r="H71" s="11"/>
      <c r="I71" s="11"/>
      <c r="J71" s="11"/>
      <c r="K71" s="11"/>
      <c r="L71" s="11"/>
      <c r="M71" s="11"/>
      <c r="N71" s="11"/>
      <c r="O71" s="11"/>
      <c r="P71" s="11"/>
      <c r="Q71" s="11"/>
      <c r="R71" s="11"/>
      <c r="S71" s="11"/>
      <c r="T71" s="11"/>
      <c r="U71" s="11"/>
      <c r="V71" s="11"/>
      <c r="W71" s="11"/>
      <c r="X71" s="11"/>
      <c r="Y71" s="11"/>
      <c r="Z71" s="11"/>
      <c r="AA71" s="11"/>
      <c r="AB71" s="11"/>
      <c r="AC71" s="11"/>
      <c r="AD71" s="11"/>
    </row>
    <row r="72" ht="15" customHeight="1" hidden="1">
      <c r="A72" s="10"/>
      <c r="B72" s="11"/>
      <c r="C72" s="11"/>
      <c r="D72" s="11"/>
      <c r="E72" s="11"/>
      <c r="F72" s="11"/>
      <c r="G72" s="11"/>
      <c r="H72" s="11"/>
      <c r="I72" s="11"/>
      <c r="J72" s="11"/>
      <c r="K72" s="11"/>
      <c r="L72" s="11"/>
      <c r="M72" s="11"/>
      <c r="N72" s="11"/>
      <c r="O72" s="11"/>
      <c r="P72" s="11"/>
      <c r="Q72" s="11"/>
      <c r="R72" s="11"/>
      <c r="S72" s="11"/>
      <c r="T72" s="11"/>
      <c r="U72" s="11"/>
      <c r="V72" s="11"/>
      <c r="W72" s="11"/>
      <c r="X72" s="11"/>
      <c r="Y72" s="11"/>
      <c r="Z72" s="11"/>
      <c r="AA72" s="11"/>
      <c r="AB72" s="11"/>
      <c r="AC72" s="11"/>
      <c r="AD72" s="11"/>
    </row>
    <row r="73" ht="15" customHeight="1" hidden="1">
      <c r="A73" s="10"/>
      <c r="B73" s="11"/>
      <c r="C73" s="11"/>
      <c r="D73" s="11"/>
      <c r="E73" s="11"/>
      <c r="F73" s="11"/>
      <c r="G73" s="11"/>
      <c r="H73" s="11"/>
      <c r="I73" s="11"/>
      <c r="J73" s="11"/>
      <c r="K73" s="11"/>
      <c r="L73" s="11"/>
      <c r="M73" s="11"/>
      <c r="N73" s="11"/>
      <c r="O73" s="11"/>
      <c r="P73" s="11"/>
      <c r="Q73" s="11"/>
      <c r="R73" s="11"/>
      <c r="S73" s="11"/>
      <c r="T73" s="11"/>
      <c r="U73" s="11"/>
      <c r="V73" s="11"/>
      <c r="W73" s="11"/>
      <c r="X73" s="11"/>
      <c r="Y73" s="11"/>
      <c r="Z73" s="11"/>
      <c r="AA73" s="11"/>
      <c r="AB73" s="11"/>
      <c r="AC73" s="11"/>
      <c r="AD73" s="11"/>
    </row>
    <row r="74" ht="15" customHeight="1" hidden="1">
      <c r="A74" s="10"/>
      <c r="B74" s="11"/>
      <c r="C74" s="11"/>
      <c r="D74" s="11"/>
      <c r="E74" s="11"/>
      <c r="F74" s="11"/>
      <c r="G74" s="11"/>
      <c r="H74" s="11"/>
      <c r="I74" s="11"/>
      <c r="J74" s="11"/>
      <c r="K74" s="11"/>
      <c r="L74" s="11"/>
      <c r="M74" s="11"/>
      <c r="N74" s="11"/>
      <c r="O74" s="11"/>
      <c r="P74" s="11"/>
      <c r="Q74" s="11"/>
      <c r="R74" s="11"/>
      <c r="S74" s="11"/>
      <c r="T74" s="11"/>
      <c r="U74" s="11"/>
      <c r="V74" s="11"/>
      <c r="W74" s="11"/>
      <c r="X74" s="11"/>
      <c r="Y74" s="11"/>
      <c r="Z74" s="11"/>
      <c r="AA74" s="11"/>
      <c r="AB74" s="11"/>
      <c r="AC74" s="11"/>
      <c r="AD74" s="11"/>
    </row>
    <row r="75" ht="15" customHeight="1" hidden="1">
      <c r="A75" s="10"/>
      <c r="B75" s="11"/>
      <c r="C75" s="11"/>
      <c r="D75" s="11"/>
      <c r="E75" s="11"/>
      <c r="F75" s="11"/>
      <c r="G75" s="11"/>
      <c r="H75" s="11"/>
      <c r="I75" s="11"/>
      <c r="J75" s="11"/>
      <c r="K75" s="11"/>
      <c r="L75" s="11"/>
      <c r="M75" s="11"/>
      <c r="N75" s="11"/>
      <c r="O75" s="11"/>
      <c r="P75" s="11"/>
      <c r="Q75" s="11"/>
      <c r="R75" s="11"/>
      <c r="S75" s="11"/>
      <c r="T75" s="11"/>
      <c r="U75" s="11"/>
      <c r="V75" s="11"/>
      <c r="W75" s="11"/>
      <c r="X75" s="11"/>
      <c r="Y75" s="11"/>
      <c r="Z75" s="11"/>
      <c r="AA75" s="11"/>
      <c r="AB75" s="11"/>
      <c r="AC75" s="11"/>
      <c r="AD75" s="11"/>
    </row>
    <row r="76" ht="15" customHeight="1" hidden="1">
      <c r="A76" s="10"/>
      <c r="B76" s="11"/>
      <c r="C76" s="11"/>
      <c r="D76" s="11"/>
      <c r="E76" s="11"/>
      <c r="F76" s="11"/>
      <c r="G76" s="11"/>
      <c r="H76" s="11"/>
      <c r="I76" s="11"/>
      <c r="J76" s="11"/>
      <c r="K76" s="11"/>
      <c r="L76" s="11"/>
      <c r="M76" s="11"/>
      <c r="N76" s="11"/>
      <c r="O76" s="11"/>
      <c r="P76" s="11"/>
      <c r="Q76" s="11"/>
      <c r="R76" s="11"/>
      <c r="S76" s="11"/>
      <c r="T76" s="11"/>
      <c r="U76" s="11"/>
      <c r="V76" s="11"/>
      <c r="W76" s="11"/>
      <c r="X76" s="11"/>
      <c r="Y76" s="11"/>
      <c r="Z76" s="11"/>
      <c r="AA76" s="11"/>
      <c r="AB76" s="11"/>
      <c r="AC76" s="11"/>
      <c r="AD76" s="11"/>
    </row>
    <row r="77" ht="15" customHeight="1" hidden="1">
      <c r="A77" s="10"/>
      <c r="B77" s="11"/>
      <c r="C77" s="11"/>
      <c r="D77" s="11"/>
      <c r="E77" s="11"/>
      <c r="F77" s="11"/>
      <c r="G77" s="11"/>
      <c r="H77" s="11"/>
      <c r="I77" s="11"/>
      <c r="J77" s="11"/>
      <c r="K77" s="11"/>
      <c r="L77" s="11"/>
      <c r="M77" s="11"/>
      <c r="N77" s="11"/>
      <c r="O77" s="11"/>
      <c r="P77" s="11"/>
      <c r="Q77" s="11"/>
      <c r="R77" s="11"/>
      <c r="S77" s="11"/>
      <c r="T77" s="11"/>
      <c r="U77" s="11"/>
      <c r="V77" s="11"/>
      <c r="W77" s="11"/>
      <c r="X77" s="11"/>
      <c r="Y77" s="11"/>
      <c r="Z77" s="11"/>
      <c r="AA77" s="11"/>
      <c r="AB77" s="11"/>
      <c r="AC77" s="11"/>
      <c r="AD77" s="11"/>
    </row>
    <row r="78" ht="15" customHeight="1" hidden="1">
      <c r="A78" s="10"/>
      <c r="B78" s="11"/>
      <c r="C78" s="11"/>
      <c r="D78" s="11"/>
      <c r="E78" s="11"/>
      <c r="F78" s="11"/>
      <c r="G78" s="11"/>
      <c r="H78" s="11"/>
      <c r="I78" s="11"/>
      <c r="J78" s="11"/>
      <c r="K78" s="11"/>
      <c r="L78" s="11"/>
      <c r="M78" s="11"/>
      <c r="N78" s="11"/>
      <c r="O78" s="11"/>
      <c r="P78" s="11"/>
      <c r="Q78" s="11"/>
      <c r="R78" s="11"/>
      <c r="S78" s="11"/>
      <c r="T78" s="11"/>
      <c r="U78" s="11"/>
      <c r="V78" s="11"/>
      <c r="W78" s="11"/>
      <c r="X78" s="11"/>
      <c r="Y78" s="11"/>
      <c r="Z78" s="11"/>
      <c r="AA78" s="11"/>
      <c r="AB78" s="11"/>
      <c r="AC78" s="11"/>
      <c r="AD78" s="11"/>
    </row>
    <row r="79" ht="15" customHeight="1" hidden="1">
      <c r="A79" s="10"/>
      <c r="B79" s="11"/>
      <c r="C79" s="11"/>
      <c r="D79" s="11"/>
      <c r="E79" s="11"/>
      <c r="F79" s="11"/>
      <c r="G79" s="11"/>
      <c r="H79" s="11"/>
      <c r="I79" s="11"/>
      <c r="J79" s="11"/>
      <c r="K79" s="11"/>
      <c r="L79" s="11"/>
      <c r="M79" s="11"/>
      <c r="N79" s="11"/>
      <c r="O79" s="11"/>
      <c r="P79" s="11"/>
      <c r="Q79" s="11"/>
      <c r="R79" s="11"/>
      <c r="S79" s="11"/>
      <c r="T79" s="11"/>
      <c r="U79" s="11"/>
      <c r="V79" s="11"/>
      <c r="W79" s="11"/>
      <c r="X79" s="11"/>
      <c r="Y79" s="11"/>
      <c r="Z79" s="11"/>
      <c r="AA79" s="11"/>
      <c r="AB79" s="11"/>
      <c r="AC79" s="11"/>
      <c r="AD79" s="11"/>
    </row>
    <row r="80" ht="15" customHeight="1" hidden="1">
      <c r="A80" s="10"/>
      <c r="B80" s="11"/>
      <c r="C80" s="11"/>
      <c r="D80" s="11"/>
      <c r="E80" s="11"/>
      <c r="F80" s="11"/>
      <c r="G80" s="11"/>
      <c r="H80" s="11"/>
      <c r="I80" s="11"/>
      <c r="J80" s="11"/>
      <c r="K80" s="11"/>
      <c r="L80" s="11"/>
      <c r="M80" s="11"/>
      <c r="N80" s="11"/>
      <c r="O80" s="11"/>
      <c r="P80" s="11"/>
      <c r="Q80" s="11"/>
      <c r="R80" s="11"/>
      <c r="S80" s="11"/>
      <c r="T80" s="11"/>
      <c r="U80" s="11"/>
      <c r="V80" s="11"/>
      <c r="W80" s="11"/>
      <c r="X80" s="11"/>
      <c r="Y80" s="11"/>
      <c r="Z80" s="11"/>
      <c r="AA80" s="11"/>
      <c r="AB80" s="11"/>
      <c r="AC80" s="11"/>
      <c r="AD80" s="11"/>
    </row>
    <row r="81" ht="15" customHeight="1" hidden="1">
      <c r="A81" s="10"/>
      <c r="B81" s="11"/>
      <c r="C81" s="11"/>
      <c r="D81" s="11"/>
      <c r="E81" s="11"/>
      <c r="F81" s="11"/>
      <c r="G81" s="11"/>
      <c r="H81" s="11"/>
      <c r="I81" s="11"/>
      <c r="J81" s="11"/>
      <c r="K81" s="11"/>
      <c r="L81" s="11"/>
      <c r="M81" s="11"/>
      <c r="N81" s="11"/>
      <c r="O81" s="11"/>
      <c r="P81" s="11"/>
      <c r="Q81" s="11"/>
      <c r="R81" s="11"/>
      <c r="S81" s="11"/>
      <c r="T81" s="11"/>
      <c r="U81" s="11"/>
      <c r="V81" s="11"/>
      <c r="W81" s="11"/>
      <c r="X81" s="11"/>
      <c r="Y81" s="11"/>
      <c r="Z81" s="11"/>
      <c r="AA81" s="11"/>
      <c r="AB81" s="11"/>
      <c r="AC81" s="11"/>
      <c r="AD81" s="11"/>
    </row>
    <row r="82" ht="15" customHeight="1" hidden="1">
      <c r="A82" s="10"/>
      <c r="B82" s="11"/>
      <c r="C82" s="11"/>
      <c r="D82" s="11"/>
      <c r="E82" s="11"/>
      <c r="F82" s="11"/>
      <c r="G82" s="11"/>
      <c r="H82" s="11"/>
      <c r="I82" s="11"/>
      <c r="J82" s="11"/>
      <c r="K82" s="11"/>
      <c r="L82" s="11"/>
      <c r="M82" s="11"/>
      <c r="N82" s="11"/>
      <c r="O82" s="11"/>
      <c r="P82" s="11"/>
      <c r="Q82" s="11"/>
      <c r="R82" s="11"/>
      <c r="S82" s="11"/>
      <c r="T82" s="11"/>
      <c r="U82" s="11"/>
      <c r="V82" s="11"/>
      <c r="W82" s="11"/>
      <c r="X82" s="11"/>
      <c r="Y82" s="11"/>
      <c r="Z82" s="11"/>
      <c r="AA82" s="11"/>
      <c r="AB82" s="11"/>
      <c r="AC82" s="11"/>
      <c r="AD82" s="11"/>
    </row>
    <row r="83" ht="15" customHeight="1" hidden="1">
      <c r="A83" s="10"/>
      <c r="B83" s="11"/>
      <c r="C83" s="11"/>
      <c r="D83" s="11"/>
      <c r="E83" s="11"/>
      <c r="F83" s="11"/>
      <c r="G83" s="11"/>
      <c r="H83" s="11"/>
      <c r="I83" s="11"/>
      <c r="J83" s="11"/>
      <c r="K83" s="11"/>
      <c r="L83" s="11"/>
      <c r="M83" s="11"/>
      <c r="N83" s="11"/>
      <c r="O83" s="11"/>
      <c r="P83" s="11"/>
      <c r="Q83" s="11"/>
      <c r="R83" s="11"/>
      <c r="S83" s="11"/>
      <c r="T83" s="11"/>
      <c r="U83" s="11"/>
      <c r="V83" s="11"/>
      <c r="W83" s="11"/>
      <c r="X83" s="11"/>
      <c r="Y83" s="11"/>
      <c r="Z83" s="11"/>
      <c r="AA83" s="11"/>
      <c r="AB83" s="11"/>
      <c r="AC83" s="11"/>
      <c r="AD83" s="11"/>
    </row>
    <row r="84" ht="15" customHeight="1" hidden="1">
      <c r="A84" s="10"/>
      <c r="B84" s="11"/>
      <c r="C84" s="11"/>
      <c r="D84" s="11"/>
      <c r="E84" s="11"/>
      <c r="F84" s="11"/>
      <c r="G84" s="11"/>
      <c r="H84" s="11"/>
      <c r="I84" s="11"/>
      <c r="J84" s="11"/>
      <c r="K84" s="11"/>
      <c r="L84" s="11"/>
      <c r="M84" s="11"/>
      <c r="N84" s="11"/>
      <c r="O84" s="11"/>
      <c r="P84" s="11"/>
      <c r="Q84" s="11"/>
      <c r="R84" s="11"/>
      <c r="S84" s="11"/>
      <c r="T84" s="11"/>
      <c r="U84" s="11"/>
      <c r="V84" s="11"/>
      <c r="W84" s="11"/>
      <c r="X84" s="11"/>
      <c r="Y84" s="11"/>
      <c r="Z84" s="11"/>
      <c r="AA84" s="11"/>
      <c r="AB84" s="11"/>
      <c r="AC84" s="11"/>
      <c r="AD84" s="11"/>
    </row>
    <row r="85" ht="15" customHeight="1" hidden="1">
      <c r="A85" s="10"/>
      <c r="B85" s="11"/>
      <c r="C85" s="11"/>
      <c r="D85" s="11"/>
      <c r="E85" s="11"/>
      <c r="F85" s="11"/>
      <c r="G85" s="11"/>
      <c r="H85" s="11"/>
      <c r="I85" s="11"/>
      <c r="J85" s="11"/>
      <c r="K85" s="11"/>
      <c r="L85" s="11"/>
      <c r="M85" s="11"/>
      <c r="N85" s="11"/>
      <c r="O85" s="11"/>
      <c r="P85" s="11"/>
      <c r="Q85" s="11"/>
      <c r="R85" s="11"/>
      <c r="S85" s="11"/>
      <c r="T85" s="11"/>
      <c r="U85" s="11"/>
      <c r="V85" s="11"/>
      <c r="W85" s="11"/>
      <c r="X85" s="11"/>
      <c r="Y85" s="11"/>
      <c r="Z85" s="11"/>
      <c r="AA85" s="11"/>
      <c r="AB85" s="11"/>
      <c r="AC85" s="11"/>
      <c r="AD85" s="11"/>
    </row>
    <row r="86" ht="15" customHeight="1" hidden="1">
      <c r="A86" s="10"/>
      <c r="B86" s="11"/>
      <c r="C86" s="11"/>
      <c r="D86" s="11"/>
      <c r="E86" s="11"/>
      <c r="F86" s="11"/>
      <c r="G86" s="11"/>
      <c r="H86" s="11"/>
      <c r="I86" s="11"/>
      <c r="J86" s="11"/>
      <c r="K86" s="11"/>
      <c r="L86" s="11"/>
      <c r="M86" s="11"/>
      <c r="N86" s="11"/>
      <c r="O86" s="11"/>
      <c r="P86" s="11"/>
      <c r="Q86" s="11"/>
      <c r="R86" s="11"/>
      <c r="S86" s="11"/>
      <c r="T86" s="11"/>
      <c r="U86" s="11"/>
      <c r="V86" s="11"/>
      <c r="W86" s="11"/>
      <c r="X86" s="11"/>
      <c r="Y86" s="11"/>
      <c r="Z86" s="11"/>
      <c r="AA86" s="11"/>
      <c r="AB86" s="11"/>
      <c r="AC86" s="11"/>
      <c r="AD86" s="11"/>
    </row>
    <row r="87" ht="15" customHeight="1" hidden="1">
      <c r="A87" s="10"/>
      <c r="B87" s="11"/>
      <c r="C87" s="11"/>
      <c r="D87" s="11"/>
      <c r="E87" s="11"/>
      <c r="F87" s="11"/>
      <c r="G87" s="11"/>
      <c r="H87" s="11"/>
      <c r="I87" s="11"/>
      <c r="J87" s="11"/>
      <c r="K87" s="11"/>
      <c r="L87" s="11"/>
      <c r="M87" s="11"/>
      <c r="N87" s="11"/>
      <c r="O87" s="11"/>
      <c r="P87" s="11"/>
      <c r="Q87" s="11"/>
      <c r="R87" s="11"/>
      <c r="S87" s="11"/>
      <c r="T87" s="11"/>
      <c r="U87" s="11"/>
      <c r="V87" s="11"/>
      <c r="W87" s="11"/>
      <c r="X87" s="11"/>
      <c r="Y87" s="11"/>
      <c r="Z87" s="11"/>
      <c r="AA87" s="11"/>
      <c r="AB87" s="11"/>
      <c r="AC87" s="11"/>
      <c r="AD87" s="11"/>
    </row>
    <row r="88" ht="15" customHeight="1" hidden="1">
      <c r="A88" s="10"/>
      <c r="B88" s="11"/>
      <c r="C88" s="11"/>
      <c r="D88" s="11"/>
      <c r="E88" s="11"/>
      <c r="F88" s="11"/>
      <c r="G88" s="11"/>
      <c r="H88" s="11"/>
      <c r="I88" s="11"/>
      <c r="J88" s="11"/>
      <c r="K88" s="11"/>
      <c r="L88" s="11"/>
      <c r="M88" s="11"/>
      <c r="N88" s="11"/>
      <c r="O88" s="11"/>
      <c r="P88" s="11"/>
      <c r="Q88" s="11"/>
      <c r="R88" s="11"/>
      <c r="S88" s="11"/>
      <c r="T88" s="11"/>
      <c r="U88" s="11"/>
      <c r="V88" s="11"/>
      <c r="W88" s="11"/>
      <c r="X88" s="11"/>
      <c r="Y88" s="11"/>
      <c r="Z88" s="11"/>
      <c r="AA88" s="11"/>
      <c r="AB88" s="11"/>
      <c r="AC88" s="11"/>
      <c r="AD88" s="11"/>
    </row>
    <row r="89" ht="15" customHeight="1" hidden="1">
      <c r="A89" s="10"/>
      <c r="B89" s="11"/>
      <c r="C89" s="11"/>
      <c r="D89" s="11"/>
      <c r="E89" s="11"/>
      <c r="F89" s="11"/>
      <c r="G89" s="11"/>
      <c r="H89" s="11"/>
      <c r="I89" s="11"/>
      <c r="J89" s="11"/>
      <c r="K89" s="11"/>
      <c r="L89" s="11"/>
      <c r="M89" s="11"/>
      <c r="N89" s="11"/>
      <c r="O89" s="11"/>
      <c r="P89" s="11"/>
      <c r="Q89" s="11"/>
      <c r="R89" s="11"/>
      <c r="S89" s="11"/>
      <c r="T89" s="11"/>
      <c r="U89" s="11"/>
      <c r="V89" s="11"/>
      <c r="W89" s="11"/>
      <c r="X89" s="11"/>
      <c r="Y89" s="11"/>
      <c r="Z89" s="11"/>
      <c r="AA89" s="11"/>
      <c r="AB89" s="11"/>
      <c r="AC89" s="11"/>
      <c r="AD89" s="11"/>
    </row>
    <row r="90" ht="15" customHeight="1" hidden="1">
      <c r="A90" s="10"/>
      <c r="B90" s="11"/>
      <c r="C90" s="11"/>
      <c r="D90" s="11"/>
      <c r="E90" s="11"/>
      <c r="F90" s="11"/>
      <c r="G90" s="11"/>
      <c r="H90" s="11"/>
      <c r="I90" s="11"/>
      <c r="J90" s="11"/>
      <c r="K90" s="11"/>
      <c r="L90" s="11"/>
      <c r="M90" s="11"/>
      <c r="N90" s="11"/>
      <c r="O90" s="11"/>
      <c r="P90" s="11"/>
      <c r="Q90" s="11"/>
      <c r="R90" s="11"/>
      <c r="S90" s="11"/>
      <c r="T90" s="11"/>
      <c r="U90" s="11"/>
      <c r="V90" s="11"/>
      <c r="W90" s="11"/>
      <c r="X90" s="11"/>
      <c r="Y90" s="11"/>
      <c r="Z90" s="11"/>
      <c r="AA90" s="11"/>
      <c r="AB90" s="11"/>
      <c r="AC90" s="11"/>
      <c r="AD90" s="11"/>
    </row>
    <row r="91" ht="15" customHeight="1" hidden="1">
      <c r="A91" s="10"/>
      <c r="B91" s="11"/>
      <c r="C91" s="11"/>
      <c r="D91" s="11"/>
      <c r="E91" s="11"/>
      <c r="F91" s="11"/>
      <c r="G91" s="11"/>
      <c r="H91" s="11"/>
      <c r="I91" s="11"/>
      <c r="J91" s="11"/>
      <c r="K91" s="11"/>
      <c r="L91" s="11"/>
      <c r="M91" s="11"/>
      <c r="N91" s="11"/>
      <c r="O91" s="11"/>
      <c r="P91" s="11"/>
      <c r="Q91" s="11"/>
      <c r="R91" s="11"/>
      <c r="S91" s="11"/>
      <c r="T91" s="11"/>
      <c r="U91" s="11"/>
      <c r="V91" s="11"/>
      <c r="W91" s="11"/>
      <c r="X91" s="11"/>
      <c r="Y91" s="11"/>
      <c r="Z91" s="11"/>
      <c r="AA91" s="11"/>
      <c r="AB91" s="11"/>
      <c r="AC91" s="11"/>
      <c r="AD91" s="11"/>
    </row>
    <row r="92" ht="15" customHeight="1" hidden="1">
      <c r="A92" s="10"/>
      <c r="B92" s="11"/>
      <c r="C92" s="11"/>
      <c r="D92" s="11"/>
      <c r="E92" s="11"/>
      <c r="F92" s="11"/>
      <c r="G92" s="11"/>
      <c r="H92" s="11"/>
      <c r="I92" s="11"/>
      <c r="J92" s="11"/>
      <c r="K92" s="11"/>
      <c r="L92" s="11"/>
      <c r="M92" s="11"/>
      <c r="N92" s="11"/>
      <c r="O92" s="11"/>
      <c r="P92" s="11"/>
      <c r="Q92" s="11"/>
      <c r="R92" s="11"/>
      <c r="S92" s="11"/>
      <c r="T92" s="11"/>
      <c r="U92" s="11"/>
      <c r="V92" s="11"/>
      <c r="W92" s="11"/>
      <c r="X92" s="11"/>
      <c r="Y92" s="11"/>
      <c r="Z92" s="11"/>
      <c r="AA92" s="11"/>
      <c r="AB92" s="11"/>
      <c r="AC92" s="11"/>
      <c r="AD92" s="11"/>
    </row>
    <row r="93" ht="15" customHeight="1" hidden="1">
      <c r="A93" s="10"/>
      <c r="B93" s="11"/>
      <c r="C93" s="11"/>
      <c r="D93" s="11"/>
      <c r="E93" s="11"/>
      <c r="F93" s="11"/>
      <c r="G93" s="11"/>
      <c r="H93" s="11"/>
      <c r="I93" s="11"/>
      <c r="J93" s="11"/>
      <c r="K93" s="11"/>
      <c r="L93" s="11"/>
      <c r="M93" s="11"/>
      <c r="N93" s="11"/>
      <c r="O93" s="11"/>
      <c r="P93" s="11"/>
      <c r="Q93" s="11"/>
      <c r="R93" s="11"/>
      <c r="S93" s="11"/>
      <c r="T93" s="11"/>
      <c r="U93" s="11"/>
      <c r="V93" s="11"/>
      <c r="W93" s="11"/>
      <c r="X93" s="11"/>
      <c r="Y93" s="11"/>
      <c r="Z93" s="11"/>
      <c r="AA93" s="11"/>
      <c r="AB93" s="11"/>
      <c r="AC93" s="11"/>
      <c r="AD93" s="11"/>
    </row>
    <row r="94" ht="15" customHeight="1" hidden="1">
      <c r="A94" s="10"/>
      <c r="B94" s="11"/>
      <c r="C94" s="11"/>
      <c r="D94" s="11"/>
      <c r="E94" s="11"/>
      <c r="F94" s="11"/>
      <c r="G94" s="11"/>
      <c r="H94" s="11"/>
      <c r="I94" s="11"/>
      <c r="J94" s="11"/>
      <c r="K94" s="11"/>
      <c r="L94" s="11"/>
      <c r="M94" s="11"/>
      <c r="N94" s="11"/>
      <c r="O94" s="11"/>
      <c r="P94" s="11"/>
      <c r="Q94" s="11"/>
      <c r="R94" s="11"/>
      <c r="S94" s="11"/>
      <c r="T94" s="11"/>
      <c r="U94" s="11"/>
      <c r="V94" s="11"/>
      <c r="W94" s="11"/>
      <c r="X94" s="11"/>
      <c r="Y94" s="11"/>
      <c r="Z94" s="11"/>
      <c r="AA94" s="11"/>
      <c r="AB94" s="11"/>
      <c r="AC94" s="11"/>
      <c r="AD94" s="11"/>
    </row>
    <row r="95" ht="15" customHeight="1">
      <c r="A95" s="72"/>
      <c r="B95" s="72"/>
      <c r="C95" s="72"/>
      <c r="D95" s="72"/>
      <c r="E95" s="72"/>
      <c r="F95" s="72"/>
      <c r="G95" s="72"/>
      <c r="H95" s="72"/>
      <c r="I95" s="72"/>
      <c r="J95" s="72"/>
      <c r="K95" s="72"/>
      <c r="L95" s="72"/>
      <c r="M95" s="72"/>
      <c r="N95" s="72"/>
      <c r="O95" s="72"/>
      <c r="P95" s="72"/>
      <c r="Q95" s="72"/>
      <c r="R95" s="72"/>
      <c r="S95" s="72"/>
      <c r="T95" s="72"/>
      <c r="U95" s="72"/>
      <c r="V95" s="72"/>
      <c r="W95" s="72"/>
      <c r="X95" s="72"/>
      <c r="Y95" s="72"/>
      <c r="Z95" s="72"/>
      <c r="AA95" s="72"/>
      <c r="AB95" s="72"/>
      <c r="AC95" s="72"/>
      <c r="AD95" s="72"/>
    </row>
  </sheetData>
  <mergeCells count="24">
    <mergeCell ref="D1:J5"/>
    <mergeCell ref="B6:J8"/>
    <mergeCell ref="B9:J10"/>
    <mergeCell ref="B11:E11"/>
    <mergeCell ref="F11:J11"/>
    <mergeCell ref="B12:J12"/>
    <mergeCell ref="B14:B15"/>
    <mergeCell ref="C14:J15"/>
    <mergeCell ref="B17:H17"/>
    <mergeCell ref="B19:C20"/>
    <mergeCell ref="D19:H20"/>
    <mergeCell ref="B21:C22"/>
    <mergeCell ref="D21:H22"/>
    <mergeCell ref="B23:C24"/>
    <mergeCell ref="D23:H24"/>
    <mergeCell ref="D25:H25"/>
    <mergeCell ref="J28:R28"/>
    <mergeCell ref="B29:C29"/>
    <mergeCell ref="D29:H29"/>
    <mergeCell ref="D26:H26"/>
    <mergeCell ref="B27:C27"/>
    <mergeCell ref="D27:H27"/>
    <mergeCell ref="B28:C28"/>
    <mergeCell ref="D28:H28"/>
  </mergeCells>
  <pageMargins left="0.7" right="0.7" top="0.75" bottom="0.75" header="0.3" footer="0.3"/>
  <pageSetup firstPageNumber="1" fitToHeight="1" fitToWidth="1" scale="100" useFirstPageNumber="0" orientation="portrait" pageOrder="downThenOver"/>
  <headerFooter>
    <oddFooter>&amp;C&amp;"Helvetica Neue,Regular"&amp;12&amp;K000000&amp;P</oddFooter>
  </headerFooter>
  <drawing r:id="rId1"/>
</worksheet>
</file>

<file path=xl/worksheets/sheet3.xml><?xml version="1.0" encoding="utf-8"?>
<worksheet xmlns:r="http://schemas.openxmlformats.org/officeDocument/2006/relationships" xmlns="http://schemas.openxmlformats.org/spreadsheetml/2006/main">
  <sheetPr>
    <pageSetUpPr fitToPage="1"/>
  </sheetPr>
  <dimension ref="A1:K40"/>
  <sheetViews>
    <sheetView workbookViewId="0" showGridLines="0" defaultGridColor="1"/>
  </sheetViews>
  <sheetFormatPr defaultColWidth="8.83333" defaultRowHeight="0" customHeight="1" outlineLevelRow="0" outlineLevelCol="0"/>
  <cols>
    <col min="1" max="1" width="4.5" style="73" customWidth="1"/>
    <col min="2" max="3" width="39.3516" style="73" customWidth="1"/>
    <col min="4" max="4" width="70.8516" style="73" customWidth="1"/>
    <col min="5" max="5" width="6" style="73" customWidth="1"/>
    <col min="6" max="6" width="13.6719" style="73" customWidth="1"/>
    <col min="7" max="11" width="8.85156" style="73" customWidth="1"/>
    <col min="12" max="16384" width="8.85156" style="73" customWidth="1"/>
  </cols>
  <sheetData>
    <row r="1" ht="15" customHeight="1">
      <c r="A1" s="7"/>
      <c r="B1" s="74"/>
      <c r="C1" s="74"/>
      <c r="D1" s="74"/>
      <c r="E1" s="8"/>
      <c r="F1" s="8"/>
      <c r="G1" s="8"/>
      <c r="H1" s="8"/>
      <c r="I1" s="8"/>
      <c r="J1" s="8"/>
      <c r="K1" s="75"/>
    </row>
    <row r="2" ht="32.45" customHeight="1">
      <c r="A2" s="27"/>
      <c r="B2" t="s" s="76">
        <v>23</v>
      </c>
      <c r="C2" s="77"/>
      <c r="D2" t="s" s="78">
        <v>24</v>
      </c>
      <c r="E2" s="79"/>
      <c r="F2" s="11"/>
      <c r="G2" s="11"/>
      <c r="H2" s="11"/>
      <c r="I2" s="11"/>
      <c r="J2" s="11"/>
      <c r="K2" s="80"/>
    </row>
    <row r="3" ht="42" customHeight="1">
      <c r="A3" s="27"/>
      <c r="B3" t="s" s="81">
        <v>25</v>
      </c>
      <c r="C3" s="82"/>
      <c r="D3" t="s" s="83">
        <v>26</v>
      </c>
      <c r="E3" s="33"/>
      <c r="F3" s="11"/>
      <c r="G3" s="11"/>
      <c r="H3" s="11"/>
      <c r="I3" s="11"/>
      <c r="J3" s="11"/>
      <c r="K3" s="80"/>
    </row>
    <row r="4" ht="42" customHeight="1">
      <c r="A4" s="27"/>
      <c r="B4" t="s" s="84">
        <v>27</v>
      </c>
      <c r="C4" s="85"/>
      <c r="D4" t="s" s="86">
        <v>28</v>
      </c>
      <c r="E4" s="33"/>
      <c r="F4" s="11"/>
      <c r="G4" s="11"/>
      <c r="H4" s="11"/>
      <c r="I4" s="11"/>
      <c r="J4" s="11"/>
      <c r="K4" s="80"/>
    </row>
    <row r="5" ht="42" customHeight="1">
      <c r="A5" s="27"/>
      <c r="B5" t="s" s="84">
        <v>29</v>
      </c>
      <c r="C5" s="85"/>
      <c r="D5" t="s" s="86">
        <v>30</v>
      </c>
      <c r="E5" s="33"/>
      <c r="F5" s="11"/>
      <c r="G5" s="11"/>
      <c r="H5" s="11"/>
      <c r="I5" s="11"/>
      <c r="J5" s="11"/>
      <c r="K5" s="80"/>
    </row>
    <row r="6" ht="42" customHeight="1">
      <c r="A6" s="27"/>
      <c r="B6" t="s" s="84">
        <v>31</v>
      </c>
      <c r="C6" s="85"/>
      <c r="D6" t="s" s="86">
        <v>32</v>
      </c>
      <c r="E6" s="33"/>
      <c r="F6" s="11"/>
      <c r="G6" s="11"/>
      <c r="H6" s="11"/>
      <c r="I6" s="11"/>
      <c r="J6" s="11"/>
      <c r="K6" s="80"/>
    </row>
    <row r="7" ht="42" customHeight="1">
      <c r="A7" s="27"/>
      <c r="B7" t="s" s="84">
        <v>33</v>
      </c>
      <c r="C7" s="85"/>
      <c r="D7" s="87"/>
      <c r="E7" s="33"/>
      <c r="F7" s="11"/>
      <c r="G7" s="11"/>
      <c r="H7" s="11"/>
      <c r="I7" s="11"/>
      <c r="J7" s="11"/>
      <c r="K7" s="80"/>
    </row>
    <row r="8" ht="42" customHeight="1">
      <c r="A8" s="27"/>
      <c r="B8" t="s" s="84">
        <v>34</v>
      </c>
      <c r="C8" s="85"/>
      <c r="D8" t="s" s="86">
        <v>35</v>
      </c>
      <c r="E8" s="33"/>
      <c r="F8" s="11"/>
      <c r="G8" s="11"/>
      <c r="H8" s="11"/>
      <c r="I8" s="11"/>
      <c r="J8" s="11"/>
      <c r="K8" s="80"/>
    </row>
    <row r="9" ht="42" customHeight="1">
      <c r="A9" s="27"/>
      <c r="B9" t="s" s="84">
        <v>36</v>
      </c>
      <c r="C9" s="85"/>
      <c r="D9" t="s" s="86">
        <v>37</v>
      </c>
      <c r="E9" s="33"/>
      <c r="F9" s="11"/>
      <c r="G9" s="11"/>
      <c r="H9" s="11"/>
      <c r="I9" s="11"/>
      <c r="J9" s="11"/>
      <c r="K9" s="80"/>
    </row>
    <row r="10" ht="42" customHeight="1">
      <c r="A10" s="27"/>
      <c r="B10" t="s" s="84">
        <v>38</v>
      </c>
      <c r="C10" s="85"/>
      <c r="D10" s="87"/>
      <c r="E10" s="33"/>
      <c r="F10" s="11"/>
      <c r="G10" s="11"/>
      <c r="H10" s="11"/>
      <c r="I10" s="11"/>
      <c r="J10" s="11"/>
      <c r="K10" s="80"/>
    </row>
    <row r="11" ht="42" customHeight="1">
      <c r="A11" s="27"/>
      <c r="B11" t="s" s="88">
        <v>39</v>
      </c>
      <c r="C11" s="89"/>
      <c r="D11" s="90"/>
      <c r="E11" s="33"/>
      <c r="F11" s="11"/>
      <c r="G11" s="11"/>
      <c r="H11" s="11"/>
      <c r="I11" s="11"/>
      <c r="J11" s="11"/>
      <c r="K11" s="80"/>
    </row>
    <row r="12" ht="42" customHeight="1">
      <c r="A12" s="10"/>
      <c r="B12" t="s" s="91">
        <v>40</v>
      </c>
      <c r="C12" s="92"/>
      <c r="D12" s="93"/>
      <c r="E12" s="11"/>
      <c r="F12" s="11"/>
      <c r="G12" s="11"/>
      <c r="H12" s="11"/>
      <c r="I12" s="11"/>
      <c r="J12" s="11"/>
      <c r="K12" s="80"/>
    </row>
    <row r="13" ht="42" customHeight="1">
      <c r="A13" s="27"/>
      <c r="B13" t="s" s="94">
        <v>41</v>
      </c>
      <c r="C13" t="s" s="95">
        <v>42</v>
      </c>
      <c r="D13" s="96">
        <v>10</v>
      </c>
      <c r="E13" t="s" s="97">
        <f>IF(D13&lt;10,"Caution - % target reduced below default ▲",IF(D13&gt;10,"Caution -Target increased above default ⚠",""))</f>
      </c>
      <c r="F13" s="98"/>
      <c r="G13" s="98"/>
      <c r="H13" s="98"/>
      <c r="I13" s="98"/>
      <c r="J13" s="99"/>
      <c r="K13" s="80"/>
    </row>
    <row r="14" ht="42" customHeight="1">
      <c r="A14" s="27"/>
      <c r="B14" s="100"/>
      <c r="C14" t="s" s="101">
        <v>43</v>
      </c>
      <c r="D14" s="102">
        <v>10</v>
      </c>
      <c r="E14" t="s" s="97">
        <f>IF(D14&lt;10,"Caution - % target reduced below default ▲",IF(D14&gt;10,"Caution -Target increased above default ⚠",""))</f>
      </c>
      <c r="F14" s="98"/>
      <c r="G14" s="98"/>
      <c r="H14" s="98"/>
      <c r="I14" s="98"/>
      <c r="J14" s="11"/>
      <c r="K14" s="80"/>
    </row>
    <row r="15" ht="42" customHeight="1">
      <c r="A15" s="27"/>
      <c r="B15" s="103"/>
      <c r="C15" t="s" s="104">
        <v>44</v>
      </c>
      <c r="D15" s="105">
        <v>10</v>
      </c>
      <c r="E15" t="s" s="97">
        <f>IF(D15&lt;10,"Caution - % target reduced below default ▲",IF(D15&gt;10,"Caution -Target increased above default ⚠",""))</f>
      </c>
      <c r="F15" s="98"/>
      <c r="G15" s="98"/>
      <c r="H15" s="98"/>
      <c r="I15" s="98"/>
      <c r="J15" s="11"/>
      <c r="K15" s="80"/>
    </row>
    <row r="16" ht="36.75" customHeight="1">
      <c r="A16" s="10"/>
      <c r="B16" s="106"/>
      <c r="C16" s="106"/>
      <c r="D16" s="107"/>
      <c r="E16" s="11"/>
      <c r="F16" s="11"/>
      <c r="G16" s="11"/>
      <c r="H16" s="11"/>
      <c r="I16" s="11"/>
      <c r="J16" s="11"/>
      <c r="K16" s="80"/>
    </row>
    <row r="17" ht="41.1" customHeight="1">
      <c r="A17" s="27"/>
      <c r="B17" t="s" s="94">
        <v>45</v>
      </c>
      <c r="C17" t="s" s="95">
        <v>46</v>
      </c>
      <c r="D17" s="96">
        <v>0</v>
      </c>
      <c r="E17" t="s" s="108">
        <f>IF(D17=0,"","Unit increase Targets must be agreed with LPA ⚠")</f>
      </c>
      <c r="F17" s="109"/>
      <c r="G17" s="109"/>
      <c r="H17" s="109"/>
      <c r="I17" s="109"/>
      <c r="J17" s="11"/>
      <c r="K17" s="80"/>
    </row>
    <row r="18" ht="41.1" customHeight="1">
      <c r="A18" s="27"/>
      <c r="B18" s="100"/>
      <c r="C18" t="s" s="101">
        <v>47</v>
      </c>
      <c r="D18" s="102">
        <v>0</v>
      </c>
      <c r="E18" t="s" s="108">
        <f>IF(D18=0,"","Unit increase Targets must be agreed with LPA ⚠")</f>
      </c>
      <c r="F18" s="109"/>
      <c r="G18" s="109"/>
      <c r="H18" s="109"/>
      <c r="I18" s="109"/>
      <c r="J18" s="11"/>
      <c r="K18" s="80"/>
    </row>
    <row r="19" ht="41.1" customHeight="1">
      <c r="A19" s="27"/>
      <c r="B19" s="103"/>
      <c r="C19" t="s" s="104">
        <v>48</v>
      </c>
      <c r="D19" s="105">
        <v>0</v>
      </c>
      <c r="E19" t="s" s="108">
        <f>IF(D19=0,"","Unit increase Targets must be agreed with LPA ⚠")</f>
      </c>
      <c r="F19" s="109"/>
      <c r="G19" s="109"/>
      <c r="H19" s="109"/>
      <c r="I19" s="109"/>
      <c r="J19" s="11"/>
      <c r="K19" s="80"/>
    </row>
    <row r="20" ht="23.45" customHeight="1">
      <c r="A20" s="10"/>
      <c r="B20" s="71"/>
      <c r="C20" s="71"/>
      <c r="D20" s="71"/>
      <c r="E20" s="98"/>
      <c r="F20" s="98"/>
      <c r="G20" s="98"/>
      <c r="H20" s="98"/>
      <c r="I20" s="98"/>
      <c r="J20" s="11"/>
      <c r="K20" s="80"/>
    </row>
    <row r="21" ht="34.35" customHeight="1">
      <c r="A21" s="10"/>
      <c r="B21" t="s" s="110">
        <v>49</v>
      </c>
      <c r="C21" s="111"/>
      <c r="D21" s="111"/>
      <c r="E21" s="98"/>
      <c r="F21" s="98"/>
      <c r="G21" s="98"/>
      <c r="H21" s="98"/>
      <c r="I21" s="98"/>
      <c r="J21" s="11"/>
      <c r="K21" s="80"/>
    </row>
    <row r="22" ht="41.1" customHeight="1">
      <c r="A22" s="27"/>
      <c r="B22" t="s" s="81">
        <v>50</v>
      </c>
      <c r="C22" s="82"/>
      <c r="D22" s="112"/>
      <c r="E22" s="113"/>
      <c r="F22" s="98"/>
      <c r="G22" s="98"/>
      <c r="H22" s="98"/>
      <c r="I22" s="98"/>
      <c r="J22" s="11"/>
      <c r="K22" s="80"/>
    </row>
    <row r="23" ht="41.1" customHeight="1">
      <c r="A23" s="27"/>
      <c r="B23" t="s" s="88">
        <v>51</v>
      </c>
      <c r="C23" s="89"/>
      <c r="D23" s="114"/>
      <c r="E23" s="113"/>
      <c r="F23" s="98"/>
      <c r="G23" s="98"/>
      <c r="H23" s="98"/>
      <c r="I23" s="98"/>
      <c r="J23" s="11"/>
      <c r="K23" s="80"/>
    </row>
    <row r="24" ht="41.1" customHeight="1">
      <c r="A24" s="10"/>
      <c r="B24" s="71"/>
      <c r="C24" s="71"/>
      <c r="D24" s="71"/>
      <c r="E24" s="11"/>
      <c r="F24" s="109"/>
      <c r="G24" s="109"/>
      <c r="H24" s="109"/>
      <c r="I24" s="109"/>
      <c r="J24" s="11"/>
      <c r="K24" s="80"/>
    </row>
    <row r="25" ht="41.1" customHeight="1" hidden="1">
      <c r="A25" s="10"/>
      <c r="B25" s="11"/>
      <c r="C25" s="11"/>
      <c r="D25" s="11"/>
      <c r="E25" s="11"/>
      <c r="F25" s="109"/>
      <c r="G25" s="109"/>
      <c r="H25" s="109"/>
      <c r="I25" s="109"/>
      <c r="J25" s="11"/>
      <c r="K25" s="80"/>
    </row>
    <row r="26" ht="41.1" customHeight="1" hidden="1">
      <c r="A26" s="10"/>
      <c r="B26" s="11"/>
      <c r="C26" s="11"/>
      <c r="D26" s="11"/>
      <c r="E26" s="11"/>
      <c r="F26" s="109"/>
      <c r="G26" s="109"/>
      <c r="H26" s="109"/>
      <c r="I26" s="109"/>
      <c r="J26" s="11"/>
      <c r="K26" s="80"/>
    </row>
    <row r="27" ht="41.1" customHeight="1" hidden="1">
      <c r="A27" s="10"/>
      <c r="B27" s="11"/>
      <c r="C27" s="11"/>
      <c r="D27" s="11"/>
      <c r="E27" s="11"/>
      <c r="F27" s="109"/>
      <c r="G27" s="109"/>
      <c r="H27" s="109"/>
      <c r="I27" s="109"/>
      <c r="J27" s="11"/>
      <c r="K27" s="80"/>
    </row>
    <row r="28" ht="36.75" customHeight="1" hidden="1">
      <c r="A28" s="10"/>
      <c r="B28" s="11"/>
      <c r="C28" s="11"/>
      <c r="D28" s="11"/>
      <c r="E28" s="11"/>
      <c r="F28" s="11"/>
      <c r="G28" s="11"/>
      <c r="H28" s="11"/>
      <c r="I28" s="11"/>
      <c r="J28" s="11"/>
      <c r="K28" s="80"/>
    </row>
    <row r="29" ht="14.45" customHeight="1" hidden="1">
      <c r="A29" s="10"/>
      <c r="B29" s="11"/>
      <c r="C29" s="11"/>
      <c r="D29" s="11"/>
      <c r="E29" s="11"/>
      <c r="F29" s="11"/>
      <c r="G29" s="11"/>
      <c r="H29" s="11"/>
      <c r="I29" s="11"/>
      <c r="J29" s="11"/>
      <c r="K29" s="80"/>
    </row>
    <row r="30" ht="14.45" customHeight="1" hidden="1">
      <c r="A30" s="10"/>
      <c r="B30" s="11"/>
      <c r="C30" s="11"/>
      <c r="D30" s="11"/>
      <c r="E30" s="11"/>
      <c r="F30" s="11"/>
      <c r="G30" s="11"/>
      <c r="H30" s="11"/>
      <c r="I30" s="11"/>
      <c r="J30" s="11"/>
      <c r="K30" s="80"/>
    </row>
    <row r="31" ht="14.45" customHeight="1" hidden="1">
      <c r="A31" s="10"/>
      <c r="B31" s="11"/>
      <c r="C31" s="11"/>
      <c r="D31" s="11"/>
      <c r="E31" s="11"/>
      <c r="F31" s="11"/>
      <c r="G31" s="11"/>
      <c r="H31" s="11"/>
      <c r="I31" s="11"/>
      <c r="J31" s="11"/>
      <c r="K31" s="80"/>
    </row>
    <row r="32" ht="14.45" customHeight="1" hidden="1">
      <c r="A32" s="10"/>
      <c r="B32" s="11"/>
      <c r="C32" s="11"/>
      <c r="D32" s="11"/>
      <c r="E32" s="11"/>
      <c r="F32" s="11"/>
      <c r="G32" s="11"/>
      <c r="H32" s="11"/>
      <c r="I32" s="11"/>
      <c r="J32" s="11"/>
      <c r="K32" s="80"/>
    </row>
    <row r="33" ht="15" customHeight="1" hidden="1">
      <c r="A33" s="10"/>
      <c r="B33" s="11"/>
      <c r="C33" s="11"/>
      <c r="D33" s="11"/>
      <c r="E33" s="11"/>
      <c r="F33" s="11"/>
      <c r="G33" s="11"/>
      <c r="H33" s="11"/>
      <c r="I33" s="11"/>
      <c r="J33" s="11"/>
      <c r="K33" s="80"/>
    </row>
    <row r="34" ht="14.45" customHeight="1" hidden="1">
      <c r="A34" s="10"/>
      <c r="B34" s="11"/>
      <c r="C34" s="11"/>
      <c r="D34" s="11"/>
      <c r="E34" s="11"/>
      <c r="F34" s="11"/>
      <c r="G34" s="11"/>
      <c r="H34" s="11"/>
      <c r="I34" s="11"/>
      <c r="J34" s="11"/>
      <c r="K34" s="80"/>
    </row>
    <row r="35" ht="14.45" customHeight="1" hidden="1">
      <c r="A35" s="10"/>
      <c r="B35" s="11"/>
      <c r="C35" s="11"/>
      <c r="D35" s="11"/>
      <c r="E35" s="11"/>
      <c r="F35" s="11"/>
      <c r="G35" s="11"/>
      <c r="H35" s="11"/>
      <c r="I35" s="11"/>
      <c r="J35" s="11"/>
      <c r="K35" s="80"/>
    </row>
    <row r="36" ht="14.45" customHeight="1" hidden="1">
      <c r="A36" s="10"/>
      <c r="B36" s="11"/>
      <c r="C36" s="11"/>
      <c r="D36" s="11"/>
      <c r="E36" s="11"/>
      <c r="F36" s="11"/>
      <c r="G36" s="11"/>
      <c r="H36" s="11"/>
      <c r="I36" s="11"/>
      <c r="J36" s="11"/>
      <c r="K36" s="80"/>
    </row>
    <row r="37" ht="14.45" customHeight="1" hidden="1">
      <c r="A37" s="10"/>
      <c r="B37" s="11"/>
      <c r="C37" s="11"/>
      <c r="D37" s="11"/>
      <c r="E37" s="11"/>
      <c r="F37" s="11"/>
      <c r="G37" s="11"/>
      <c r="H37" s="11"/>
      <c r="I37" s="11"/>
      <c r="J37" s="11"/>
      <c r="K37" s="80"/>
    </row>
    <row r="38" ht="14.45" customHeight="1" hidden="1">
      <c r="A38" s="115"/>
      <c r="B38" s="115"/>
      <c r="C38" s="115"/>
      <c r="D38" s="115"/>
      <c r="E38" s="115"/>
      <c r="F38" s="115"/>
      <c r="G38" s="115"/>
      <c r="H38" s="115"/>
      <c r="I38" s="115"/>
      <c r="J38" s="115"/>
      <c r="K38" s="115"/>
    </row>
    <row r="39" ht="14.45" customHeight="1" hidden="1">
      <c r="A39" s="115"/>
      <c r="B39" s="115"/>
      <c r="C39" s="115"/>
      <c r="D39" s="115"/>
      <c r="E39" s="115"/>
      <c r="F39" s="115"/>
      <c r="G39" s="115"/>
      <c r="H39" s="115"/>
      <c r="I39" s="115"/>
      <c r="J39" s="115"/>
      <c r="K39" s="115"/>
    </row>
    <row r="40" ht="13.55" customHeight="1">
      <c r="A40" s="72"/>
      <c r="B40" s="72"/>
      <c r="C40" s="72"/>
      <c r="D40" s="72"/>
      <c r="E40" s="72"/>
      <c r="F40" s="72"/>
      <c r="G40" s="72"/>
      <c r="H40" s="72"/>
      <c r="I40" s="72"/>
      <c r="J40" s="72"/>
      <c r="K40" s="72"/>
    </row>
  </sheetData>
  <mergeCells count="21">
    <mergeCell ref="B2:C2"/>
    <mergeCell ref="B3:C3"/>
    <mergeCell ref="B4:C4"/>
    <mergeCell ref="B5:C5"/>
    <mergeCell ref="B6:C6"/>
    <mergeCell ref="B7:C7"/>
    <mergeCell ref="B8:C8"/>
    <mergeCell ref="B9:C9"/>
    <mergeCell ref="B10:C10"/>
    <mergeCell ref="B11:C11"/>
    <mergeCell ref="B21:D21"/>
    <mergeCell ref="B22:C22"/>
    <mergeCell ref="B23:C23"/>
    <mergeCell ref="B13:B15"/>
    <mergeCell ref="E13:I13"/>
    <mergeCell ref="E14:I14"/>
    <mergeCell ref="E15:I15"/>
    <mergeCell ref="B17:B19"/>
    <mergeCell ref="E17:I17"/>
    <mergeCell ref="E18:I18"/>
    <mergeCell ref="E19:I19"/>
  </mergeCells>
  <conditionalFormatting sqref="D13:D15">
    <cfRule type="cellIs" dxfId="0" priority="1" operator="greaterThan" stopIfTrue="1">
      <formula>10</formula>
    </cfRule>
    <cfRule type="cellIs" dxfId="1" priority="2" operator="lessThan" stopIfTrue="1">
      <formula>10</formula>
    </cfRule>
  </conditionalFormatting>
  <conditionalFormatting sqref="D17:D19">
    <cfRule type="cellIs" dxfId="2" priority="1" operator="lessThan" stopIfTrue="1">
      <formula>0</formula>
    </cfRule>
  </conditionalFormatting>
  <conditionalFormatting sqref="E17:I19 F24:I27">
    <cfRule type="containsText" dxfId="3" priority="1" stopIfTrue="1" text="LPA">
      <formula>NOT(ISERROR(FIND(UPPER("LPA"),UPPER(E17))))</formula>
      <formula>"LPA"</formula>
    </cfRule>
    <cfRule type="containsText" dxfId="4" priority="2" stopIfTrue="1" text="Caution - % changed from default">
      <formula>NOT(ISERROR(FIND(UPPER("Caution - % changed from default"),UPPER(E17))))</formula>
      <formula>"Caution - % changed from default"</formula>
    </cfRule>
  </conditionalFormatting>
  <dataValidations count="1">
    <dataValidation type="list" allowBlank="1" showInputMessage="1" showErrorMessage="1" sqref="D6">
      <formula1>"Householder planning consent,Full planning consent,Hybrid planning consent,Outline planning consent,Reserved Matters,Application for non-material amendments"</formula1>
    </dataValidation>
  </dataValidations>
  <pageMargins left="0.7" right="0.7" top="0.75" bottom="0.75" header="0.3" footer="0.3"/>
  <pageSetup firstPageNumber="1" fitToHeight="1" fitToWidth="1" scale="100" useFirstPageNumber="0" orientation="portrait" pageOrder="downThenOver"/>
  <headerFooter>
    <oddFooter>&amp;C&amp;"Helvetica Neue,Regular"&amp;12&amp;K000000&amp;P</oddFooter>
  </headerFooter>
</worksheet>
</file>

<file path=xl/worksheets/sheet4.xml><?xml version="1.0" encoding="utf-8"?>
<worksheet xmlns:r="http://schemas.openxmlformats.org/officeDocument/2006/relationships" xmlns="http://schemas.openxmlformats.org/spreadsheetml/2006/main">
  <sheetPr>
    <pageSetUpPr fitToPage="1"/>
  </sheetPr>
  <dimension ref="A1:N40"/>
  <sheetViews>
    <sheetView workbookViewId="0" showGridLines="0" defaultGridColor="1"/>
  </sheetViews>
  <sheetFormatPr defaultColWidth="8.83333" defaultRowHeight="15" customHeight="1" outlineLevelRow="0" outlineLevelCol="0"/>
  <cols>
    <col min="1" max="1" width="4.5" style="116" customWidth="1"/>
    <col min="2" max="2" width="63.3516" style="116" customWidth="1"/>
    <col min="3" max="3" width="48.8516" style="116" customWidth="1"/>
    <col min="4" max="4" width="46.8516" style="116" customWidth="1"/>
    <col min="5" max="8" width="8.85156" style="116" customWidth="1"/>
    <col min="9" max="14" hidden="1" width="8.83333" style="116" customWidth="1"/>
    <col min="15" max="16384" width="8.85156" style="116" customWidth="1"/>
  </cols>
  <sheetData>
    <row r="1" ht="15" customHeight="1">
      <c r="A1" s="7"/>
      <c r="B1" s="74"/>
      <c r="C1" s="74"/>
      <c r="D1" s="74"/>
      <c r="E1" s="8"/>
      <c r="F1" s="8"/>
      <c r="G1" s="8"/>
      <c r="H1" s="8"/>
      <c r="I1" s="8"/>
      <c r="J1" s="8"/>
      <c r="K1" s="8"/>
      <c r="L1" s="8"/>
      <c r="M1" s="8"/>
      <c r="N1" s="8"/>
    </row>
    <row r="2" ht="24" customHeight="1">
      <c r="A2" s="117"/>
      <c r="B2" t="s" s="118">
        <v>53</v>
      </c>
      <c r="C2" t="s" s="119">
        <f>IF('2. Site Details'!D4="","Enter site name on 2. Site Details",'2. Site Details'!D4)</f>
        <v>54</v>
      </c>
      <c r="D2" s="120"/>
      <c r="E2" s="33"/>
      <c r="F2" s="11"/>
      <c r="G2" s="11"/>
      <c r="H2" s="11"/>
      <c r="I2" s="11"/>
      <c r="J2" s="11"/>
      <c r="K2" s="11"/>
      <c r="L2" s="11"/>
      <c r="M2" s="11"/>
      <c r="N2" s="11"/>
    </row>
    <row r="3" ht="24" customHeight="1">
      <c r="A3" s="117"/>
      <c r="B3" t="s" s="121">
        <v>23</v>
      </c>
      <c r="C3" t="s" s="122">
        <v>55</v>
      </c>
      <c r="D3" s="123"/>
      <c r="E3" s="33"/>
      <c r="F3" s="11"/>
      <c r="G3" s="11"/>
      <c r="H3" s="11"/>
      <c r="I3" s="11"/>
      <c r="J3" s="11"/>
      <c r="K3" s="11"/>
      <c r="L3" s="11"/>
      <c r="M3" s="11"/>
      <c r="N3" s="11"/>
    </row>
    <row r="4" ht="14.45" customHeight="1">
      <c r="A4" s="124"/>
      <c r="B4" s="125"/>
      <c r="C4" s="125"/>
      <c r="D4" s="125"/>
      <c r="E4" s="11"/>
      <c r="F4" s="11"/>
      <c r="G4" s="11"/>
      <c r="H4" s="11"/>
      <c r="I4" s="11"/>
      <c r="J4" s="11"/>
      <c r="K4" s="11"/>
      <c r="L4" s="11"/>
      <c r="M4" s="11"/>
      <c r="N4" s="11"/>
    </row>
    <row r="5" ht="36" customHeight="1">
      <c r="A5" s="126"/>
      <c r="B5" t="s" s="127">
        <v>56</v>
      </c>
      <c r="C5" s="128"/>
      <c r="D5" s="128"/>
      <c r="E5" s="11"/>
      <c r="F5" s="11"/>
      <c r="G5" s="11"/>
      <c r="H5" s="11"/>
      <c r="I5" s="11"/>
      <c r="J5" s="11"/>
      <c r="K5" s="11"/>
      <c r="L5" s="11"/>
      <c r="M5" s="11"/>
      <c r="N5" s="11"/>
    </row>
    <row r="6" ht="42" customHeight="1">
      <c r="A6" s="27"/>
      <c r="B6" t="s" s="129">
        <v>57</v>
      </c>
      <c r="C6" t="s" s="130">
        <v>58</v>
      </c>
      <c r="D6" t="s" s="131">
        <f>IF(AND(C6="Residential",C9="Unknown number"),"Site area must be less than 5,000 m2",IF(C6="","","Site area must be less than 10,000 m2"))</f>
        <v>59</v>
      </c>
      <c r="E6" t="s" s="132">
        <f>IF(AND(C9="Unknown number",C6="Residential"),"Site area limited by unknown number of dwellings ⚠","")</f>
      </c>
      <c r="F6" s="133"/>
      <c r="G6" s="133"/>
      <c r="H6" s="133"/>
      <c r="I6" s="11"/>
      <c r="J6" s="11"/>
      <c r="K6" s="11"/>
      <c r="L6" s="11"/>
      <c r="M6" s="11"/>
      <c r="N6" s="11"/>
    </row>
    <row r="7" ht="42" customHeight="1">
      <c r="A7" s="27"/>
      <c r="B7" t="s" s="134">
        <v>60</v>
      </c>
      <c r="C7" s="135">
        <v>93.416</v>
      </c>
      <c r="D7" t="s" s="136">
        <f>IF(AND(D6="Site area must be less than 10,000 m2",C7&gt;=10000),"ERROR- Site too large for metric  - USE MAIN METRIC ▲",IF(AND(D6="Site area must be less than 5,000 m2",C7&gt;=5000),"ERROR- Site too large for metric  - USE MAIN METRIC ▲",""))</f>
      </c>
      <c r="E7" s="33"/>
      <c r="F7" s="11"/>
      <c r="G7" s="11"/>
      <c r="H7" s="11"/>
      <c r="I7" s="11"/>
      <c r="J7" s="11"/>
      <c r="K7" s="11"/>
      <c r="L7" s="11"/>
      <c r="M7" s="11"/>
      <c r="N7" s="11"/>
    </row>
    <row r="8" ht="42" customHeight="1">
      <c r="A8" s="27"/>
      <c r="B8" t="s" s="137">
        <f>IF(OR(C6="Residential",C6="Other"),"N/A",IF(C6="","","16. Building footprint (m2) of commercial buildings proposed within the development site (or zero if none)"))</f>
        <v>61</v>
      </c>
      <c r="C8" s="135">
        <v>93.416</v>
      </c>
      <c r="D8" t="s" s="138">
        <f>IF(AND(B8="n/a",C8&lt;&gt;""),"ERROR- Not required",IF(AND(C8&lt;&gt;"",C8&gt;=1000),"ERROR- Footprint too large for metric  - USE MAIN METRIC",IF(AND(C8&lt;&gt;"",C8&gt;C7),"ERROR - Footprint larger than development area","")))</f>
      </c>
      <c r="E8" s="33"/>
      <c r="F8" s="11"/>
      <c r="G8" s="11"/>
      <c r="H8" s="11"/>
      <c r="I8" s="11"/>
      <c r="J8" s="11"/>
      <c r="K8" s="11"/>
      <c r="L8" s="11"/>
      <c r="M8" s="11"/>
      <c r="N8" s="11"/>
    </row>
    <row r="9" ht="42" customHeight="1">
      <c r="A9" s="27"/>
      <c r="B9" t="s" s="139">
        <f>IF(OR(C6="Commercial",C6="Other"),"N/A",IF(C6="","","17. Number of dwellings proposed within the development site"))</f>
        <v>62</v>
      </c>
      <c r="C9" s="140"/>
      <c r="D9" t="s" s="141">
        <f>IF(AND(B9="n/a",C9&lt;&gt;""),"ERROR- Not required ▲",IF(OR(AND(C6="Residential",C9="Over 9 dwellings"),AND(C6="Mixed",C9="Over 9 dwellings")),"ERROR- Number of dwellings too large for metric  - USE MAIN METRIC ▲",IF(AND(B9="17. Number of dwellings proposed within the development site",C9=""),"ERROR - You must specify number of dwellings ▲","")))</f>
      </c>
      <c r="E9" s="33"/>
      <c r="F9" s="11"/>
      <c r="G9" s="11"/>
      <c r="H9" s="11"/>
      <c r="I9" s="11"/>
      <c r="J9" s="11"/>
      <c r="K9" s="11"/>
      <c r="L9" s="11"/>
      <c r="M9" s="11"/>
      <c r="N9" s="11"/>
    </row>
    <row r="10" ht="36" customHeight="1">
      <c r="A10" s="10"/>
      <c r="B10" t="s" s="91">
        <v>63</v>
      </c>
      <c r="C10" s="142"/>
      <c r="D10" s="143"/>
      <c r="E10" s="11"/>
      <c r="F10" s="11"/>
      <c r="G10" s="11"/>
      <c r="H10" s="11"/>
      <c r="I10" s="11"/>
      <c r="J10" s="11"/>
      <c r="K10" s="11"/>
      <c r="L10" s="11"/>
      <c r="M10" s="11"/>
      <c r="N10" s="11"/>
    </row>
    <row r="11" ht="42" customHeight="1">
      <c r="A11" s="27"/>
      <c r="B11" t="s" s="129">
        <v>64</v>
      </c>
      <c r="C11" t="s" s="130">
        <v>65</v>
      </c>
      <c r="D11" t="s" s="131">
        <f>IF(C11="On site","ERROR- Site too complex for metric - USE MAIN METRIC ▲",IF(C11="Within 500m of site boundary","Consider using main metric tool ⚠",""))</f>
      </c>
      <c r="E11" s="33"/>
      <c r="F11" s="11"/>
      <c r="G11" s="11"/>
      <c r="H11" s="11"/>
      <c r="I11" s="11"/>
      <c r="J11" s="11"/>
      <c r="K11" s="11"/>
      <c r="L11" s="11"/>
      <c r="M11" s="11"/>
      <c r="N11" s="11"/>
    </row>
    <row r="12" ht="42" customHeight="1">
      <c r="A12" s="27"/>
      <c r="B12" t="s" s="134">
        <v>66</v>
      </c>
      <c r="C12" t="s" s="144">
        <v>67</v>
      </c>
      <c r="D12" t="s" s="145">
        <f>IF(C12="On site","ERROR- Site too complex for metric - USE MAIN METRIC ▲",IF(C12="Within 500m of site boundary","Consider using main metric tool ⚠",""))</f>
        <v>68</v>
      </c>
      <c r="E12" s="33"/>
      <c r="F12" s="11"/>
      <c r="G12" s="11"/>
      <c r="H12" s="11"/>
      <c r="I12" s="11"/>
      <c r="J12" s="11"/>
      <c r="K12" s="11"/>
      <c r="L12" s="11"/>
      <c r="M12" s="11"/>
      <c r="N12" s="11"/>
    </row>
    <row r="13" ht="79.35" customHeight="1">
      <c r="A13" s="27"/>
      <c r="B13" t="s" s="134">
        <v>69</v>
      </c>
      <c r="C13" t="s" s="146">
        <v>70</v>
      </c>
      <c r="D13" s="147"/>
      <c r="E13" s="33"/>
      <c r="F13" s="11"/>
      <c r="G13" s="11"/>
      <c r="H13" s="11"/>
      <c r="I13" s="11"/>
      <c r="J13" s="11"/>
      <c r="K13" s="11"/>
      <c r="L13" s="11"/>
      <c r="M13" s="11"/>
      <c r="N13" s="11"/>
    </row>
    <row r="14" ht="79.35" customHeight="1">
      <c r="A14" s="27"/>
      <c r="B14" t="s" s="148">
        <v>71</v>
      </c>
      <c r="C14" s="149"/>
      <c r="D14" s="150"/>
      <c r="E14" s="33"/>
      <c r="F14" s="11"/>
      <c r="G14" s="11"/>
      <c r="H14" s="11"/>
      <c r="I14" s="11"/>
      <c r="J14" s="11"/>
      <c r="K14" s="11"/>
      <c r="L14" s="11"/>
      <c r="M14" s="11"/>
      <c r="N14" s="11"/>
    </row>
    <row r="15" ht="36" customHeight="1">
      <c r="A15" s="10"/>
      <c r="B15" t="s" s="151">
        <v>72</v>
      </c>
      <c r="C15" s="152"/>
      <c r="D15" s="152"/>
      <c r="E15" s="11"/>
      <c r="F15" s="11"/>
      <c r="G15" s="11"/>
      <c r="H15" s="11"/>
      <c r="I15" s="11"/>
      <c r="J15" s="11"/>
      <c r="K15" s="11"/>
      <c r="L15" s="11"/>
      <c r="M15" s="11"/>
      <c r="N15" s="11"/>
    </row>
    <row r="16" ht="42" customHeight="1">
      <c r="A16" s="27"/>
      <c r="B16" t="s" s="153">
        <v>73</v>
      </c>
      <c r="C16" t="s" s="154">
        <v>65</v>
      </c>
      <c r="D16" t="s" s="155">
        <f>IF(C16="Yes","ERROR- Site too complex for metric - USE MAIN METRIC ▲","")</f>
      </c>
      <c r="E16" s="33"/>
      <c r="F16" s="11"/>
      <c r="G16" s="11"/>
      <c r="H16" s="11"/>
      <c r="I16" s="11"/>
      <c r="J16" s="11"/>
      <c r="K16" s="11"/>
      <c r="L16" s="11"/>
      <c r="M16" s="11"/>
      <c r="N16" s="11"/>
    </row>
    <row r="17" ht="42" customHeight="1" hidden="1">
      <c r="A17" s="10"/>
      <c r="B17" s="11"/>
      <c r="C17" s="11"/>
      <c r="D17" s="11"/>
      <c r="E17" s="11"/>
      <c r="F17" s="11"/>
      <c r="G17" s="11"/>
      <c r="H17" s="11"/>
      <c r="I17" s="11"/>
      <c r="J17" s="11"/>
      <c r="K17" s="11"/>
      <c r="L17" s="11"/>
      <c r="M17" s="11"/>
      <c r="N17" s="11"/>
    </row>
    <row r="18" ht="42" customHeight="1">
      <c r="A18" s="10"/>
      <c r="B18" t="s" s="127">
        <v>74</v>
      </c>
      <c r="C18" s="26"/>
      <c r="D18" s="26"/>
      <c r="E18" s="11"/>
      <c r="F18" s="11"/>
      <c r="G18" s="11"/>
      <c r="H18" s="11"/>
      <c r="I18" s="11"/>
      <c r="J18" s="11"/>
      <c r="K18" s="11"/>
      <c r="L18" s="11"/>
      <c r="M18" s="11"/>
      <c r="N18" s="11"/>
    </row>
    <row r="19" ht="36" customHeight="1">
      <c r="A19" s="27"/>
      <c r="B19" t="s" s="129">
        <v>75</v>
      </c>
      <c r="C19" t="s" s="130">
        <v>76</v>
      </c>
      <c r="D19" t="s" s="156">
        <f>IF(C19="Walkover completed by competent person","A competent person should be able to confidently identify the habitats onsite",IF(C19="No Walkover Undertaken","ERROR- Site walkover required",""))</f>
        <v>77</v>
      </c>
      <c r="E19" s="33"/>
      <c r="F19" s="11"/>
      <c r="G19" s="11"/>
      <c r="H19" s="11"/>
      <c r="I19" s="11"/>
      <c r="J19" s="11"/>
      <c r="K19" s="11"/>
      <c r="L19" s="11"/>
      <c r="M19" s="11"/>
      <c r="N19" s="11"/>
    </row>
    <row r="20" ht="79.35" customHeight="1">
      <c r="A20" s="27"/>
      <c r="B20" t="s" s="134">
        <v>78</v>
      </c>
      <c r="C20" t="s" s="144">
        <v>79</v>
      </c>
      <c r="D20" t="s" s="145">
        <v>80</v>
      </c>
      <c r="E20" s="33"/>
      <c r="F20" s="11"/>
      <c r="G20" s="11"/>
      <c r="H20" s="11"/>
      <c r="I20" s="11"/>
      <c r="J20" s="11"/>
      <c r="K20" s="11"/>
      <c r="L20" s="11"/>
      <c r="M20" s="11"/>
      <c r="N20" s="11"/>
    </row>
    <row r="21" ht="39.6" customHeight="1">
      <c r="A21" s="27"/>
      <c r="B21" t="s" s="148">
        <v>81</v>
      </c>
      <c r="C21" t="s" s="157">
        <v>82</v>
      </c>
      <c r="D21" s="150"/>
      <c r="E21" s="33"/>
      <c r="F21" s="11"/>
      <c r="G21" s="11"/>
      <c r="H21" s="11"/>
      <c r="I21" s="11"/>
      <c r="J21" s="11"/>
      <c r="K21" s="11"/>
      <c r="L21" s="11"/>
      <c r="M21" s="11"/>
      <c r="N21" s="11"/>
    </row>
    <row r="22" ht="26.45" customHeight="1">
      <c r="A22" s="10"/>
      <c r="B22" t="s" s="91">
        <v>83</v>
      </c>
      <c r="C22" s="152"/>
      <c r="D22" s="152"/>
      <c r="E22" s="11"/>
      <c r="F22" s="11"/>
      <c r="G22" s="11"/>
      <c r="H22" s="11"/>
      <c r="I22" s="11"/>
      <c r="J22" s="11"/>
      <c r="K22" s="11"/>
      <c r="L22" s="11"/>
      <c r="M22" s="11"/>
      <c r="N22" s="11"/>
    </row>
    <row r="23" ht="56.45" customHeight="1">
      <c r="A23" s="27"/>
      <c r="B23" t="s" s="158">
        <v>84</v>
      </c>
      <c r="C23" s="159"/>
      <c r="D23" s="160"/>
      <c r="E23" s="33"/>
      <c r="F23" s="11"/>
      <c r="G23" s="11"/>
      <c r="H23" s="11"/>
      <c r="I23" s="11"/>
      <c r="J23" s="11"/>
      <c r="K23" s="11"/>
      <c r="L23" s="11"/>
      <c r="M23" s="11"/>
      <c r="N23" s="11"/>
    </row>
    <row r="24" ht="14.45" customHeight="1">
      <c r="A24" s="10"/>
      <c r="B24" s="71"/>
      <c r="C24" s="71"/>
      <c r="D24" s="71"/>
      <c r="E24" s="11"/>
      <c r="F24" s="11"/>
      <c r="G24" s="11"/>
      <c r="H24" s="11"/>
      <c r="I24" s="11"/>
      <c r="J24" s="11"/>
      <c r="K24" s="11"/>
      <c r="L24" s="11"/>
      <c r="M24" s="11"/>
      <c r="N24" s="11"/>
    </row>
    <row r="25" ht="14.45" customHeight="1">
      <c r="A25" s="10"/>
      <c r="B25" s="11"/>
      <c r="C25" s="11"/>
      <c r="D25" s="11"/>
      <c r="E25" s="11"/>
      <c r="F25" s="11"/>
      <c r="G25" s="11"/>
      <c r="H25" s="11"/>
      <c r="I25" s="11"/>
      <c r="J25" s="11"/>
      <c r="K25" s="11"/>
      <c r="L25" s="11"/>
      <c r="M25" s="11"/>
      <c r="N25" s="11"/>
    </row>
    <row r="26" ht="15" customHeight="1" hidden="1">
      <c r="A26" s="10"/>
      <c r="B26" s="11"/>
      <c r="C26" s="11"/>
      <c r="D26" s="11"/>
      <c r="E26" s="11"/>
      <c r="F26" s="11"/>
      <c r="G26" s="11"/>
      <c r="H26" s="11"/>
      <c r="I26" s="11"/>
      <c r="J26" s="11"/>
      <c r="K26" s="11"/>
      <c r="L26" s="11"/>
      <c r="M26" s="11"/>
      <c r="N26" s="11"/>
    </row>
    <row r="27" ht="15" customHeight="1" hidden="1">
      <c r="A27" s="10"/>
      <c r="B27" s="11"/>
      <c r="C27" s="11"/>
      <c r="D27" s="11"/>
      <c r="E27" s="11"/>
      <c r="F27" s="11"/>
      <c r="G27" s="11"/>
      <c r="H27" s="11"/>
      <c r="I27" s="11"/>
      <c r="J27" s="11"/>
      <c r="K27" s="11"/>
      <c r="L27" s="11"/>
      <c r="M27" s="11"/>
      <c r="N27" s="11"/>
    </row>
    <row r="28" ht="9" customHeight="1" hidden="1">
      <c r="A28" s="10"/>
      <c r="B28" s="11"/>
      <c r="C28" s="11"/>
      <c r="D28" s="11"/>
      <c r="E28" s="11"/>
      <c r="F28" s="11"/>
      <c r="G28" s="11"/>
      <c r="H28" s="11"/>
      <c r="I28" s="11"/>
      <c r="J28" s="11"/>
      <c r="K28" s="11"/>
      <c r="L28" s="11"/>
      <c r="M28" s="11"/>
      <c r="N28" s="11"/>
    </row>
    <row r="29" ht="9" customHeight="1" hidden="1">
      <c r="A29" s="10"/>
      <c r="B29" s="11"/>
      <c r="C29" s="11"/>
      <c r="D29" s="11"/>
      <c r="E29" s="11"/>
      <c r="F29" s="11"/>
      <c r="G29" s="11"/>
      <c r="H29" s="11"/>
      <c r="I29" s="11"/>
      <c r="J29" s="11"/>
      <c r="K29" s="11"/>
      <c r="L29" s="11"/>
      <c r="M29" s="11"/>
      <c r="N29" s="11"/>
    </row>
    <row r="30" ht="9" customHeight="1" hidden="1">
      <c r="A30" s="10"/>
      <c r="B30" s="11"/>
      <c r="C30" s="11"/>
      <c r="D30" s="11"/>
      <c r="E30" s="11"/>
      <c r="F30" s="11"/>
      <c r="G30" s="11"/>
      <c r="H30" s="11"/>
      <c r="I30" s="11"/>
      <c r="J30" s="11"/>
      <c r="K30" s="11"/>
      <c r="L30" s="11"/>
      <c r="M30" s="11"/>
      <c r="N30" s="11"/>
    </row>
    <row r="31" ht="9" customHeight="1" hidden="1">
      <c r="A31" s="10"/>
      <c r="B31" s="11"/>
      <c r="C31" s="11"/>
      <c r="D31" s="11"/>
      <c r="E31" s="11"/>
      <c r="F31" s="11"/>
      <c r="G31" s="11"/>
      <c r="H31" s="11"/>
      <c r="I31" s="161"/>
      <c r="J31" s="161"/>
      <c r="K31" s="161"/>
      <c r="L31" s="161"/>
      <c r="M31" s="161"/>
      <c r="N31" s="161"/>
    </row>
    <row r="32" ht="9" customHeight="1" hidden="1">
      <c r="A32" s="10"/>
      <c r="B32" s="11"/>
      <c r="C32" s="11"/>
      <c r="D32" s="11"/>
      <c r="E32" s="11"/>
      <c r="F32" s="11"/>
      <c r="G32" s="11"/>
      <c r="H32" s="11"/>
      <c r="I32" s="161"/>
      <c r="J32" s="161"/>
      <c r="K32" s="161"/>
      <c r="L32" s="161"/>
      <c r="M32" s="161"/>
      <c r="N32" s="161"/>
    </row>
    <row r="33" ht="9" customHeight="1" hidden="1">
      <c r="A33" s="10"/>
      <c r="B33" s="11"/>
      <c r="C33" s="11"/>
      <c r="D33" s="11"/>
      <c r="E33" s="11"/>
      <c r="F33" s="11"/>
      <c r="G33" s="11"/>
      <c r="H33" s="11"/>
      <c r="I33" s="161"/>
      <c r="J33" s="161"/>
      <c r="K33" s="161"/>
      <c r="L33" s="161"/>
      <c r="M33" s="161"/>
      <c r="N33" s="161"/>
    </row>
    <row r="34" ht="9" customHeight="1" hidden="1">
      <c r="A34" s="10"/>
      <c r="B34" s="11"/>
      <c r="C34" s="11"/>
      <c r="D34" s="11"/>
      <c r="E34" s="11"/>
      <c r="F34" s="11"/>
      <c r="G34" s="11"/>
      <c r="H34" s="11"/>
      <c r="I34" s="161"/>
      <c r="J34" s="161"/>
      <c r="K34" s="161"/>
      <c r="L34" s="161"/>
      <c r="M34" s="161"/>
      <c r="N34" s="161"/>
    </row>
    <row r="35" ht="9" customHeight="1" hidden="1">
      <c r="A35" s="10"/>
      <c r="B35" s="11"/>
      <c r="C35" s="11"/>
      <c r="D35" s="11"/>
      <c r="E35" s="11"/>
      <c r="F35" s="11"/>
      <c r="G35" s="11"/>
      <c r="H35" s="11"/>
      <c r="I35" s="161"/>
      <c r="J35" s="161"/>
      <c r="K35" s="161"/>
      <c r="L35" s="161"/>
      <c r="M35" s="161"/>
      <c r="N35" s="161"/>
    </row>
    <row r="36" ht="9" customHeight="1" hidden="1">
      <c r="A36" s="10"/>
      <c r="B36" s="11"/>
      <c r="C36" s="11"/>
      <c r="D36" s="11"/>
      <c r="E36" s="11"/>
      <c r="F36" s="11"/>
      <c r="G36" s="11"/>
      <c r="H36" s="11"/>
      <c r="I36" s="161"/>
      <c r="J36" s="161"/>
      <c r="K36" s="161"/>
      <c r="L36" s="161"/>
      <c r="M36" s="161"/>
      <c r="N36" s="161"/>
    </row>
    <row r="37" ht="9" customHeight="1" hidden="1">
      <c r="A37" s="10"/>
      <c r="B37" s="11"/>
      <c r="C37" s="11"/>
      <c r="D37" s="11"/>
      <c r="E37" s="11"/>
      <c r="F37" s="11"/>
      <c r="G37" s="11"/>
      <c r="H37" s="11"/>
      <c r="I37" s="161"/>
      <c r="J37" s="161"/>
      <c r="K37" s="161"/>
      <c r="L37" s="161"/>
      <c r="M37" s="161"/>
      <c r="N37" s="161"/>
    </row>
    <row r="38" ht="9" customHeight="1" hidden="1">
      <c r="A38" s="10"/>
      <c r="B38" s="11"/>
      <c r="C38" s="11"/>
      <c r="D38" s="11"/>
      <c r="E38" s="11"/>
      <c r="F38" s="11"/>
      <c r="G38" s="11"/>
      <c r="H38" s="11"/>
      <c r="I38" s="161"/>
      <c r="J38" s="161"/>
      <c r="K38" s="161"/>
      <c r="L38" s="161"/>
      <c r="M38" s="161"/>
      <c r="N38" s="161"/>
    </row>
    <row r="39" ht="9" customHeight="1" hidden="1">
      <c r="A39" s="10"/>
      <c r="B39" s="11"/>
      <c r="C39" s="11"/>
      <c r="D39" s="11"/>
      <c r="E39" s="11"/>
      <c r="F39" s="11"/>
      <c r="G39" s="11"/>
      <c r="H39" s="11"/>
      <c r="I39" s="161"/>
      <c r="J39" s="161"/>
      <c r="K39" s="161"/>
      <c r="L39" s="161"/>
      <c r="M39" s="161"/>
      <c r="N39" s="161"/>
    </row>
    <row r="40" ht="13.55" customHeight="1">
      <c r="A40" s="72"/>
      <c r="B40" s="72"/>
      <c r="C40" s="72"/>
      <c r="D40" s="72"/>
      <c r="E40" s="72"/>
      <c r="F40" s="72"/>
      <c r="G40" s="72"/>
      <c r="H40" s="72"/>
      <c r="I40" s="72"/>
      <c r="J40" s="72"/>
      <c r="K40" s="72"/>
      <c r="L40" s="72"/>
      <c r="M40" s="72"/>
      <c r="N40" s="72"/>
    </row>
  </sheetData>
  <mergeCells count="5">
    <mergeCell ref="C2:D2"/>
    <mergeCell ref="C3:D3"/>
    <mergeCell ref="E6:H6"/>
    <mergeCell ref="C13:D13"/>
    <mergeCell ref="C14:D14"/>
  </mergeCells>
  <conditionalFormatting sqref="E6:H6">
    <cfRule type="notContainsBlanks" dxfId="5" priority="1" stopIfTrue="1">
      <formula>NOT(ISBLANK(E6))</formula>
    </cfRule>
  </conditionalFormatting>
  <conditionalFormatting sqref="D8:D9">
    <cfRule type="containsText" dxfId="6" priority="1" stopIfTrue="1" text="ERROR">
      <formula>NOT(ISERROR(FIND(UPPER("ERROR"),UPPER(D8))))</formula>
      <formula>"ERROR"</formula>
    </cfRule>
  </conditionalFormatting>
  <conditionalFormatting sqref="C9">
    <cfRule type="containsText" dxfId="7" priority="1" stopIfTrue="1" text="Unknown">
      <formula>NOT(ISERROR(FIND(UPPER("Unknown"),UPPER(C9))))</formula>
      <formula>"Unknown"</formula>
    </cfRule>
  </conditionalFormatting>
  <conditionalFormatting sqref="D11:D12">
    <cfRule type="containsText" dxfId="8" priority="1" stopIfTrue="1" text="Consider">
      <formula>NOT(ISERROR(FIND(UPPER("Consider"),UPPER(D11))))</formula>
      <formula>"Consider"</formula>
    </cfRule>
  </conditionalFormatting>
  <conditionalFormatting sqref="D16">
    <cfRule type="containsText" dxfId="9" priority="1" stopIfTrue="1" text="ERROR">
      <formula>NOT(ISERROR(FIND(UPPER("ERROR"),UPPER(D16))))</formula>
      <formula>"ERROR"</formula>
    </cfRule>
    <cfRule type="containsText" dxfId="10" priority="2" stopIfTrue="1" text="Consider">
      <formula>NOT(ISERROR(FIND(UPPER("Consider"),UPPER(D16))))</formula>
      <formula>"Consider"</formula>
    </cfRule>
  </conditionalFormatting>
  <conditionalFormatting sqref="D20">
    <cfRule type="containsText" dxfId="11" priority="1" stopIfTrue="1" text="Walkover date required">
      <formula>NOT(ISERROR(FIND(UPPER("Walkover date required"),UPPER(D20))))</formula>
      <formula>"Walkover date required"</formula>
    </cfRule>
  </conditionalFormatting>
  <dataValidations count="5">
    <dataValidation type="list" allowBlank="1" showInputMessage="1" showErrorMessage="1" sqref="C6">
      <formula1>"Residential,Commercial,Mixed,Other"</formula1>
    </dataValidation>
    <dataValidation type="list" allowBlank="1" showInputMessage="1" showErrorMessage="1" sqref="C9">
      <formula1>"Unknown number,Between 1 - 9 dwellings,Over 9 dwellings"</formula1>
    </dataValidation>
    <dataValidation type="list" allowBlank="1" showInputMessage="1" showErrorMessage="1" sqref="C11:C12">
      <formula1>"On site,Within 500m of site boundary,No"</formula1>
    </dataValidation>
    <dataValidation type="list" allowBlank="1" showInputMessage="1" showErrorMessage="1" sqref="C16">
      <formula1>"Yes,No"</formula1>
    </dataValidation>
    <dataValidation type="list" allowBlank="1" showInputMessage="1" showErrorMessage="1" sqref="C19">
      <formula1>"Walkover completed by qualified ecologist,Walkover completed by competent person,No walkover undertaken"</formula1>
    </dataValidation>
  </dataValidations>
  <pageMargins left="0.7" right="0.7" top="0.75" bottom="0.75" header="0.3" footer="0.3"/>
  <pageSetup firstPageNumber="1" fitToHeight="1" fitToWidth="1" scale="100" useFirstPageNumber="0" orientation="portrait" pageOrder="downThenOver"/>
  <headerFooter>
    <oddFooter>&amp;C&amp;"Helvetica Neue,Regular"&amp;12&amp;K000000&amp;P</oddFooter>
  </headerFooter>
</worksheet>
</file>

<file path=xl/worksheets/sheet5.xml><?xml version="1.0" encoding="utf-8"?>
<worksheet xmlns:r="http://schemas.openxmlformats.org/officeDocument/2006/relationships" xmlns="http://schemas.openxmlformats.org/spreadsheetml/2006/main">
  <sheetPr>
    <pageSetUpPr fitToPage="1"/>
  </sheetPr>
  <dimension ref="A1:AH159"/>
  <sheetViews>
    <sheetView workbookViewId="0" showGridLines="0" defaultGridColor="1"/>
  </sheetViews>
  <sheetFormatPr defaultColWidth="8.83333" defaultRowHeight="15" customHeight="1" outlineLevelRow="0" outlineLevelCol="0"/>
  <cols>
    <col min="1" max="1" width="3.5" style="162" customWidth="1"/>
    <col min="2" max="2" width="16.5" style="162" customWidth="1"/>
    <col min="3" max="3" width="32.3516" style="162" customWidth="1"/>
    <col min="4" max="5" width="89.8516" style="162" customWidth="1"/>
    <col min="6" max="7" width="8.85156" style="162" customWidth="1"/>
    <col min="8" max="34" hidden="1" width="8.83333" style="162" customWidth="1"/>
    <col min="35" max="16384" width="8.85156" style="162" customWidth="1"/>
  </cols>
  <sheetData>
    <row r="1" ht="15" customHeight="1">
      <c r="A1" s="7"/>
      <c r="B1" s="74"/>
      <c r="C1" s="74"/>
      <c r="D1" s="74"/>
      <c r="E1" s="8"/>
      <c r="F1" s="8"/>
      <c r="G1" s="75"/>
      <c r="H1" s="163"/>
      <c r="I1" s="163"/>
      <c r="J1" s="163"/>
      <c r="K1" s="163"/>
      <c r="L1" s="163"/>
      <c r="M1" s="163"/>
      <c r="N1" s="163"/>
      <c r="O1" s="163"/>
      <c r="P1" s="163"/>
      <c r="Q1" s="163"/>
      <c r="R1" s="163"/>
      <c r="S1" s="163"/>
      <c r="T1" s="163"/>
      <c r="U1" s="163"/>
      <c r="V1" s="163"/>
      <c r="W1" s="163"/>
      <c r="X1" s="163"/>
      <c r="Y1" s="163"/>
      <c r="Z1" s="163"/>
      <c r="AA1" s="163"/>
      <c r="AB1" s="163"/>
      <c r="AC1" s="163"/>
      <c r="AD1" s="163"/>
      <c r="AE1" s="163"/>
      <c r="AF1" s="163"/>
      <c r="AG1" s="163"/>
      <c r="AH1" s="163"/>
    </row>
    <row r="2" ht="24.75" customHeight="1">
      <c r="A2" s="27"/>
      <c r="B2" t="s" s="164">
        <v>53</v>
      </c>
      <c r="C2" s="165"/>
      <c r="D2" t="s" s="166">
        <f>IF('2. Site Details'!D4="","Enter site name on 2. Site Details",'2. Site Details'!D4)</f>
        <v>54</v>
      </c>
      <c r="E2" t="s" s="167">
        <f>IF(OR('3. Desktop Assessment'!C19="Walkover completed by competent person",'3. Desktop Assessment'!C19="No walkover undertaken"),IF(COUNTA(D8:E8,D10:E10,D14:E14,D16:E16,D18:E18,D22:E22,D26:E26,D30:E30,D34:E34,D38:E38,D42:E42,D46:E46,D12:E12,D20:E20,D24:E24,D28:E28,D32:E32,D36:E36,D40:E40,D44:E44)=0,"Error - Site photographs required to support application",""),"")</f>
      </c>
      <c r="F2" s="11"/>
      <c r="G2" s="80"/>
      <c r="H2" s="168"/>
      <c r="I2" s="168"/>
      <c r="J2" s="168"/>
      <c r="K2" s="168"/>
      <c r="L2" s="168"/>
      <c r="M2" s="168"/>
      <c r="N2" s="168"/>
      <c r="O2" s="168"/>
      <c r="P2" s="168"/>
      <c r="Q2" s="168"/>
      <c r="R2" s="168"/>
      <c r="S2" s="168"/>
      <c r="T2" s="168"/>
      <c r="U2" s="168"/>
      <c r="V2" s="168"/>
      <c r="W2" s="168"/>
      <c r="X2" s="168"/>
      <c r="Y2" s="168"/>
      <c r="Z2" s="168"/>
      <c r="AA2" s="168"/>
      <c r="AB2" s="168"/>
      <c r="AC2" s="168"/>
      <c r="AD2" s="168"/>
      <c r="AE2" s="168"/>
      <c r="AF2" s="168"/>
      <c r="AG2" s="168"/>
      <c r="AH2" s="168"/>
    </row>
    <row r="3" ht="24.75" customHeight="1">
      <c r="A3" s="27"/>
      <c r="B3" t="s" s="169">
        <v>23</v>
      </c>
      <c r="C3" s="170"/>
      <c r="D3" t="s" s="171">
        <v>86</v>
      </c>
      <c r="E3" s="172"/>
      <c r="F3" s="11"/>
      <c r="G3" s="80"/>
      <c r="H3" s="168"/>
      <c r="I3" s="168"/>
      <c r="J3" s="168"/>
      <c r="K3" s="168"/>
      <c r="L3" s="168"/>
      <c r="M3" s="168"/>
      <c r="N3" s="168"/>
      <c r="O3" s="168"/>
      <c r="P3" s="168"/>
      <c r="Q3" s="168"/>
      <c r="R3" s="168"/>
      <c r="S3" s="168"/>
      <c r="T3" s="168"/>
      <c r="U3" s="168"/>
      <c r="V3" s="168"/>
      <c r="W3" s="168"/>
      <c r="X3" s="168"/>
      <c r="Y3" s="168"/>
      <c r="Z3" s="168"/>
      <c r="AA3" s="168"/>
      <c r="AB3" s="168"/>
      <c r="AC3" s="168"/>
      <c r="AD3" s="168"/>
      <c r="AE3" s="168"/>
      <c r="AF3" s="168"/>
      <c r="AG3" s="168"/>
      <c r="AH3" s="168"/>
    </row>
    <row r="4" ht="24.75" customHeight="1">
      <c r="A4" s="10"/>
      <c r="B4" s="71"/>
      <c r="C4" s="71"/>
      <c r="D4" s="71"/>
      <c r="E4" s="11"/>
      <c r="F4" s="11"/>
      <c r="G4" s="80"/>
      <c r="H4" s="168"/>
      <c r="I4" s="168"/>
      <c r="J4" s="168"/>
      <c r="K4" s="168"/>
      <c r="L4" s="168"/>
      <c r="M4" s="168"/>
      <c r="N4" s="168"/>
      <c r="O4" s="168"/>
      <c r="P4" s="168"/>
      <c r="Q4" s="168"/>
      <c r="R4" s="168"/>
      <c r="S4" s="168"/>
      <c r="T4" s="168"/>
      <c r="U4" s="168"/>
      <c r="V4" s="168"/>
      <c r="W4" s="168"/>
      <c r="X4" s="168"/>
      <c r="Y4" s="168"/>
      <c r="Z4" s="168"/>
      <c r="AA4" s="168"/>
      <c r="AB4" s="168"/>
      <c r="AC4" s="168"/>
      <c r="AD4" s="168"/>
      <c r="AE4" s="168"/>
      <c r="AF4" s="168"/>
      <c r="AG4" s="168"/>
      <c r="AH4" s="168"/>
    </row>
    <row r="5" ht="31.35" customHeight="1">
      <c r="A5" s="10"/>
      <c r="B5" t="s" s="173">
        <v>87</v>
      </c>
      <c r="C5" s="174"/>
      <c r="D5" t="s" s="175">
        <v>88</v>
      </c>
      <c r="E5" s="176"/>
      <c r="F5" s="11"/>
      <c r="G5" s="80"/>
      <c r="H5" s="168"/>
      <c r="I5" s="168"/>
      <c r="J5" s="168"/>
      <c r="K5" s="168"/>
      <c r="L5" s="168"/>
      <c r="M5" s="168"/>
      <c r="N5" s="168"/>
      <c r="O5" s="168"/>
      <c r="P5" s="168"/>
      <c r="Q5" s="168"/>
      <c r="R5" s="168"/>
      <c r="S5" s="168"/>
      <c r="T5" s="168"/>
      <c r="U5" s="168"/>
      <c r="V5" s="168"/>
      <c r="W5" s="168"/>
      <c r="X5" s="168"/>
      <c r="Y5" s="168"/>
      <c r="Z5" s="168"/>
      <c r="AA5" s="168"/>
      <c r="AB5" s="168"/>
      <c r="AC5" s="168"/>
      <c r="AD5" s="168"/>
      <c r="AE5" s="168"/>
      <c r="AF5" s="168"/>
      <c r="AG5" s="168"/>
      <c r="AH5" s="168"/>
    </row>
    <row r="6" ht="15" customHeight="1">
      <c r="A6" s="10"/>
      <c r="B6" s="26"/>
      <c r="C6" s="26"/>
      <c r="D6" s="26"/>
      <c r="E6" s="26"/>
      <c r="F6" s="11"/>
      <c r="G6" s="80"/>
      <c r="H6" s="168"/>
      <c r="I6" s="168"/>
      <c r="J6" s="168"/>
      <c r="K6" s="168"/>
      <c r="L6" s="168"/>
      <c r="M6" s="168"/>
      <c r="N6" s="168"/>
      <c r="O6" s="168"/>
      <c r="P6" s="168"/>
      <c r="Q6" s="168"/>
      <c r="R6" s="168"/>
      <c r="S6" s="168"/>
      <c r="T6" s="168"/>
      <c r="U6" s="168"/>
      <c r="V6" s="168"/>
      <c r="W6" s="168"/>
      <c r="X6" s="168"/>
      <c r="Y6" s="168"/>
      <c r="Z6" s="168"/>
      <c r="AA6" s="168"/>
      <c r="AB6" s="168"/>
      <c r="AC6" s="168"/>
      <c r="AD6" s="168"/>
      <c r="AE6" s="168"/>
      <c r="AF6" s="168"/>
      <c r="AG6" s="168"/>
      <c r="AH6" s="168"/>
    </row>
    <row r="7" ht="30.75" customHeight="1">
      <c r="A7" s="27"/>
      <c r="B7" t="s" s="177">
        <v>89</v>
      </c>
      <c r="C7" t="s" s="178">
        <v>90</v>
      </c>
      <c r="D7" t="s" s="178">
        <v>91</v>
      </c>
      <c r="E7" t="s" s="179">
        <v>92</v>
      </c>
      <c r="F7" s="33"/>
      <c r="G7" s="80"/>
      <c r="H7" s="168"/>
      <c r="I7" s="168"/>
      <c r="J7" s="168"/>
      <c r="K7" s="168"/>
      <c r="L7" s="168"/>
      <c r="M7" s="168"/>
      <c r="N7" s="168"/>
      <c r="O7" s="168"/>
      <c r="P7" s="168"/>
      <c r="Q7" s="168"/>
      <c r="R7" s="168"/>
      <c r="S7" s="168"/>
      <c r="T7" s="168"/>
      <c r="U7" s="168"/>
      <c r="V7" s="168"/>
      <c r="W7" s="168"/>
      <c r="X7" s="168"/>
      <c r="Y7" s="168"/>
      <c r="Z7" s="168"/>
      <c r="AA7" s="168"/>
      <c r="AB7" s="168"/>
      <c r="AC7" s="168"/>
      <c r="AD7" s="168"/>
      <c r="AE7" s="168"/>
      <c r="AF7" s="168"/>
      <c r="AG7" s="168"/>
      <c r="AH7" s="168"/>
    </row>
    <row r="8" ht="33" customHeight="1">
      <c r="A8" s="27"/>
      <c r="B8" s="180">
        <v>1</v>
      </c>
      <c r="C8" t="s" s="181">
        <v>93</v>
      </c>
      <c r="D8" t="s" s="182">
        <v>94</v>
      </c>
      <c r="E8" s="183"/>
      <c r="F8" s="33"/>
      <c r="G8" s="80"/>
      <c r="H8" s="168"/>
      <c r="I8" s="168"/>
      <c r="J8" s="168"/>
      <c r="K8" s="168"/>
      <c r="L8" s="168"/>
      <c r="M8" s="168"/>
      <c r="N8" s="168"/>
      <c r="O8" s="168"/>
      <c r="P8" s="168"/>
      <c r="Q8" s="168"/>
      <c r="R8" s="168"/>
      <c r="S8" s="168"/>
      <c r="T8" s="168"/>
      <c r="U8" s="168"/>
      <c r="V8" s="168"/>
      <c r="W8" s="168"/>
      <c r="X8" s="168"/>
      <c r="Y8" s="168"/>
      <c r="Z8" s="168"/>
      <c r="AA8" s="168"/>
      <c r="AB8" s="168"/>
      <c r="AC8" s="168"/>
      <c r="AD8" s="168"/>
      <c r="AE8" s="168"/>
      <c r="AF8" s="168"/>
      <c r="AG8" s="168"/>
      <c r="AH8" s="168"/>
    </row>
    <row r="9" ht="303.75" customHeight="1">
      <c r="A9" s="27"/>
      <c r="B9" s="184"/>
      <c r="C9" t="s" s="185">
        <f>IF('5. Area Habitats'!D11=0,"",'5. Area Habitats'!D11)</f>
        <v>95</v>
      </c>
      <c r="D9" s="186"/>
      <c r="E9" s="187"/>
      <c r="F9" s="33"/>
      <c r="G9" s="80"/>
      <c r="H9" s="168"/>
      <c r="I9" s="168"/>
      <c r="J9" s="168"/>
      <c r="K9" s="188"/>
      <c r="L9" s="188"/>
      <c r="M9" s="188"/>
      <c r="N9" s="188"/>
      <c r="O9" s="188"/>
      <c r="P9" s="188"/>
      <c r="Q9" s="188"/>
      <c r="R9" s="188"/>
      <c r="S9" s="188"/>
      <c r="T9" s="188"/>
      <c r="U9" s="188"/>
      <c r="V9" s="188"/>
      <c r="W9" s="188"/>
      <c r="X9" s="188"/>
      <c r="Y9" s="188"/>
      <c r="Z9" s="188"/>
      <c r="AA9" s="188"/>
      <c r="AB9" s="188"/>
      <c r="AC9" s="188"/>
      <c r="AD9" s="188"/>
      <c r="AE9" s="188"/>
      <c r="AF9" s="188"/>
      <c r="AG9" s="188"/>
      <c r="AH9" s="188"/>
    </row>
    <row r="10" ht="33" customHeight="1">
      <c r="A10" s="27"/>
      <c r="B10" s="180">
        <v>2</v>
      </c>
      <c r="C10" t="s" s="181">
        <v>93</v>
      </c>
      <c r="D10" t="s" s="182">
        <v>79</v>
      </c>
      <c r="E10" s="183"/>
      <c r="F10" s="33"/>
      <c r="G10" s="80"/>
      <c r="H10" s="168"/>
      <c r="I10" s="168"/>
      <c r="J10" s="168"/>
      <c r="K10" s="188"/>
      <c r="L10" s="188"/>
      <c r="M10" s="188"/>
      <c r="N10" s="188"/>
      <c r="O10" s="188"/>
      <c r="P10" s="188"/>
      <c r="Q10" s="188"/>
      <c r="R10" s="188"/>
      <c r="S10" s="188"/>
      <c r="T10" s="188"/>
      <c r="U10" s="188"/>
      <c r="V10" s="188"/>
      <c r="W10" s="188"/>
      <c r="X10" s="188"/>
      <c r="Y10" s="188"/>
      <c r="Z10" s="188"/>
      <c r="AA10" s="188"/>
      <c r="AB10" s="188"/>
      <c r="AC10" s="188"/>
      <c r="AD10" s="188"/>
      <c r="AE10" s="188"/>
      <c r="AF10" s="188"/>
      <c r="AG10" s="188"/>
      <c r="AH10" s="188"/>
    </row>
    <row r="11" ht="303.75" customHeight="1">
      <c r="A11" s="27"/>
      <c r="B11" s="184"/>
      <c r="C11" t="s" s="185">
        <f>IF('5. Area Habitats'!D12=0,"",'5. Area Habitats'!D12)</f>
        <v>96</v>
      </c>
      <c r="D11" s="186"/>
      <c r="E11" s="187"/>
      <c r="F11" s="33"/>
      <c r="G11" s="80"/>
      <c r="H11" s="168"/>
      <c r="I11" s="168"/>
      <c r="J11" s="168"/>
      <c r="K11" s="188"/>
      <c r="L11" s="188"/>
      <c r="M11" s="188"/>
      <c r="N11" s="188"/>
      <c r="O11" s="188"/>
      <c r="P11" s="188"/>
      <c r="Q11" s="188"/>
      <c r="R11" s="188"/>
      <c r="S11" s="188"/>
      <c r="T11" s="188"/>
      <c r="U11" s="188"/>
      <c r="V11" s="188"/>
      <c r="W11" s="188"/>
      <c r="X11" s="188"/>
      <c r="Y11" s="188"/>
      <c r="Z11" s="188"/>
      <c r="AA11" s="188"/>
      <c r="AB11" s="188"/>
      <c r="AC11" s="188"/>
      <c r="AD11" s="188"/>
      <c r="AE11" s="188"/>
      <c r="AF11" s="188"/>
      <c r="AG11" s="188"/>
      <c r="AH11" s="188"/>
    </row>
    <row r="12" ht="33" customHeight="1">
      <c r="A12" s="27"/>
      <c r="B12" s="180">
        <v>3</v>
      </c>
      <c r="C12" t="s" s="181">
        <v>93</v>
      </c>
      <c r="D12" s="189"/>
      <c r="E12" s="183"/>
      <c r="F12" s="33"/>
      <c r="G12" s="80"/>
      <c r="H12" s="168"/>
      <c r="I12" s="168"/>
      <c r="J12" s="168"/>
      <c r="K12" s="188"/>
      <c r="L12" s="188"/>
      <c r="M12" s="188"/>
      <c r="N12" s="188"/>
      <c r="O12" s="188"/>
      <c r="P12" s="188"/>
      <c r="Q12" s="188"/>
      <c r="R12" s="188"/>
      <c r="S12" s="188"/>
      <c r="T12" s="188"/>
      <c r="U12" s="188"/>
      <c r="V12" s="188"/>
      <c r="W12" s="188"/>
      <c r="X12" s="188"/>
      <c r="Y12" s="188"/>
      <c r="Z12" s="188"/>
      <c r="AA12" s="188"/>
      <c r="AB12" s="188"/>
      <c r="AC12" s="188"/>
      <c r="AD12" s="188"/>
      <c r="AE12" s="188"/>
      <c r="AF12" s="188"/>
      <c r="AG12" s="188"/>
      <c r="AH12" s="188"/>
    </row>
    <row r="13" ht="303.75" customHeight="1">
      <c r="A13" s="27"/>
      <c r="B13" s="184"/>
      <c r="C13" t="s" s="185">
        <f>IF('5. Area Habitats'!D13=0,"",'5. Area Habitats'!D13)</f>
      </c>
      <c r="D13" s="186"/>
      <c r="E13" s="187"/>
      <c r="F13" s="33"/>
      <c r="G13" s="80"/>
      <c r="H13" s="168"/>
      <c r="I13" s="168"/>
      <c r="J13" s="168"/>
      <c r="K13" s="188"/>
      <c r="L13" s="188"/>
      <c r="M13" s="188"/>
      <c r="N13" s="188"/>
      <c r="O13" s="188"/>
      <c r="P13" s="188"/>
      <c r="Q13" s="188"/>
      <c r="R13" s="188"/>
      <c r="S13" s="188"/>
      <c r="T13" s="188"/>
      <c r="U13" s="188"/>
      <c r="V13" s="188"/>
      <c r="W13" s="188"/>
      <c r="X13" s="188"/>
      <c r="Y13" s="188"/>
      <c r="Z13" s="188"/>
      <c r="AA13" s="188"/>
      <c r="AB13" s="188"/>
      <c r="AC13" s="188"/>
      <c r="AD13" s="188"/>
      <c r="AE13" s="188"/>
      <c r="AF13" s="188"/>
      <c r="AG13" s="188"/>
      <c r="AH13" s="188"/>
    </row>
    <row r="14" ht="33" customHeight="1">
      <c r="A14" s="27"/>
      <c r="B14" s="180">
        <v>4</v>
      </c>
      <c r="C14" t="s" s="181">
        <v>93</v>
      </c>
      <c r="D14" s="190"/>
      <c r="E14" s="191"/>
      <c r="F14" s="33"/>
      <c r="G14" s="80"/>
      <c r="H14" s="168"/>
      <c r="I14" s="168"/>
      <c r="J14" s="168"/>
      <c r="K14" s="188"/>
      <c r="L14" s="188"/>
      <c r="M14" s="188"/>
      <c r="N14" s="188"/>
      <c r="O14" s="188"/>
      <c r="P14" s="188"/>
      <c r="Q14" s="188"/>
      <c r="R14" s="188"/>
      <c r="S14" s="188"/>
      <c r="T14" s="188"/>
      <c r="U14" s="188"/>
      <c r="V14" s="188"/>
      <c r="W14" s="188"/>
      <c r="X14" s="188"/>
      <c r="Y14" s="188"/>
      <c r="Z14" s="188"/>
      <c r="AA14" s="188"/>
      <c r="AB14" s="188"/>
      <c r="AC14" s="188"/>
      <c r="AD14" s="188"/>
      <c r="AE14" s="188"/>
      <c r="AF14" s="188"/>
      <c r="AG14" s="188"/>
      <c r="AH14" s="188"/>
    </row>
    <row r="15" ht="303.75" customHeight="1">
      <c r="A15" s="27"/>
      <c r="B15" s="184"/>
      <c r="C15" t="s" s="185">
        <f>IF('5. Area Habitats'!D14=0,"",'5. Area Habitats'!D14)</f>
      </c>
      <c r="D15" s="186"/>
      <c r="E15" s="187"/>
      <c r="F15" s="33"/>
      <c r="G15" s="80"/>
      <c r="H15" s="168"/>
      <c r="I15" s="168"/>
      <c r="J15" s="168"/>
      <c r="K15" s="188"/>
      <c r="L15" s="188"/>
      <c r="M15" s="188"/>
      <c r="N15" s="188"/>
      <c r="O15" s="188"/>
      <c r="P15" s="188"/>
      <c r="Q15" s="188"/>
      <c r="R15" s="188"/>
      <c r="S15" s="188"/>
      <c r="T15" s="188"/>
      <c r="U15" s="188"/>
      <c r="V15" s="188"/>
      <c r="W15" s="188"/>
      <c r="X15" s="188"/>
      <c r="Y15" s="188"/>
      <c r="Z15" s="188"/>
      <c r="AA15" s="188"/>
      <c r="AB15" s="188"/>
      <c r="AC15" s="188"/>
      <c r="AD15" s="188"/>
      <c r="AE15" s="188"/>
      <c r="AF15" s="188"/>
      <c r="AG15" s="188"/>
      <c r="AH15" s="188"/>
    </row>
    <row r="16" ht="33" customHeight="1">
      <c r="A16" s="27"/>
      <c r="B16" s="180">
        <v>5</v>
      </c>
      <c r="C16" t="s" s="181">
        <v>93</v>
      </c>
      <c r="D16" s="189"/>
      <c r="E16" s="183"/>
      <c r="F16" s="33"/>
      <c r="G16" s="80"/>
      <c r="H16" s="168"/>
      <c r="I16" s="168"/>
      <c r="J16" s="168"/>
      <c r="K16" s="188"/>
      <c r="L16" s="188"/>
      <c r="M16" s="188"/>
      <c r="N16" s="188"/>
      <c r="O16" s="188"/>
      <c r="P16" s="188"/>
      <c r="Q16" s="188"/>
      <c r="R16" s="188"/>
      <c r="S16" s="188"/>
      <c r="T16" s="188"/>
      <c r="U16" s="188"/>
      <c r="V16" s="188"/>
      <c r="W16" s="188"/>
      <c r="X16" s="188"/>
      <c r="Y16" s="188"/>
      <c r="Z16" s="188"/>
      <c r="AA16" s="188"/>
      <c r="AB16" s="188"/>
      <c r="AC16" s="188"/>
      <c r="AD16" s="188"/>
      <c r="AE16" s="188"/>
      <c r="AF16" s="188"/>
      <c r="AG16" s="188"/>
      <c r="AH16" s="188"/>
    </row>
    <row r="17" ht="303.75" customHeight="1">
      <c r="A17" s="27"/>
      <c r="B17" s="184"/>
      <c r="C17" t="s" s="185">
        <f>IF('5. Area Habitats'!D15=0,"",'5. Area Habitats'!D15)</f>
      </c>
      <c r="D17" s="186"/>
      <c r="E17" s="187"/>
      <c r="F17" s="33"/>
      <c r="G17" s="80"/>
      <c r="H17" s="168"/>
      <c r="I17" s="168"/>
      <c r="J17" s="168"/>
      <c r="K17" s="188"/>
      <c r="L17" s="188"/>
      <c r="M17" s="188"/>
      <c r="N17" s="188"/>
      <c r="O17" s="188"/>
      <c r="P17" s="188"/>
      <c r="Q17" s="188"/>
      <c r="R17" s="188"/>
      <c r="S17" s="188"/>
      <c r="T17" s="188"/>
      <c r="U17" s="188"/>
      <c r="V17" s="188"/>
      <c r="W17" s="188"/>
      <c r="X17" s="188"/>
      <c r="Y17" s="188"/>
      <c r="Z17" s="188"/>
      <c r="AA17" s="188"/>
      <c r="AB17" s="188"/>
      <c r="AC17" s="188"/>
      <c r="AD17" s="188"/>
      <c r="AE17" s="188"/>
      <c r="AF17" s="188"/>
      <c r="AG17" s="188"/>
      <c r="AH17" s="188"/>
    </row>
    <row r="18" ht="33" customHeight="1">
      <c r="A18" s="27"/>
      <c r="B18" s="180">
        <v>6</v>
      </c>
      <c r="C18" t="s" s="181">
        <v>93</v>
      </c>
      <c r="D18" s="189"/>
      <c r="E18" s="183"/>
      <c r="F18" s="33"/>
      <c r="G18" s="80"/>
      <c r="H18" s="168"/>
      <c r="I18" s="168"/>
      <c r="J18" s="168"/>
      <c r="K18" s="188"/>
      <c r="L18" s="188"/>
      <c r="M18" s="188"/>
      <c r="N18" s="188"/>
      <c r="O18" s="188"/>
      <c r="P18" s="188"/>
      <c r="Q18" s="188"/>
      <c r="R18" s="188"/>
      <c r="S18" s="188"/>
      <c r="T18" s="188"/>
      <c r="U18" s="188"/>
      <c r="V18" s="188"/>
      <c r="W18" s="188"/>
      <c r="X18" s="188"/>
      <c r="Y18" s="188"/>
      <c r="Z18" s="188"/>
      <c r="AA18" s="188"/>
      <c r="AB18" s="188"/>
      <c r="AC18" s="188"/>
      <c r="AD18" s="188"/>
      <c r="AE18" s="188"/>
      <c r="AF18" s="188"/>
      <c r="AG18" s="188"/>
      <c r="AH18" s="188"/>
    </row>
    <row r="19" ht="303.75" customHeight="1">
      <c r="A19" s="27"/>
      <c r="B19" s="184"/>
      <c r="C19" t="s" s="185">
        <f>IF('5. Area Habitats'!D16=0,"",'5. Area Habitats'!D16)</f>
      </c>
      <c r="D19" s="186"/>
      <c r="E19" s="187"/>
      <c r="F19" s="33"/>
      <c r="G19" s="80"/>
      <c r="H19" s="168"/>
      <c r="I19" s="168"/>
      <c r="J19" s="168"/>
      <c r="K19" s="188"/>
      <c r="L19" s="188"/>
      <c r="M19" s="188"/>
      <c r="N19" s="188"/>
      <c r="O19" s="188"/>
      <c r="P19" s="188"/>
      <c r="Q19" s="188"/>
      <c r="R19" s="188"/>
      <c r="S19" s="188"/>
      <c r="T19" s="188"/>
      <c r="U19" s="188"/>
      <c r="V19" s="188"/>
      <c r="W19" s="188"/>
      <c r="X19" s="188"/>
      <c r="Y19" s="188"/>
      <c r="Z19" s="188"/>
      <c r="AA19" s="188"/>
      <c r="AB19" s="188"/>
      <c r="AC19" s="188"/>
      <c r="AD19" s="188"/>
      <c r="AE19" s="188"/>
      <c r="AF19" s="188"/>
      <c r="AG19" s="188"/>
      <c r="AH19" s="188"/>
    </row>
    <row r="20" ht="33" customHeight="1">
      <c r="A20" s="27"/>
      <c r="B20" s="180">
        <v>7</v>
      </c>
      <c r="C20" t="s" s="181">
        <v>93</v>
      </c>
      <c r="D20" s="189"/>
      <c r="E20" s="183"/>
      <c r="F20" s="33"/>
      <c r="G20" s="80"/>
      <c r="H20" s="168"/>
      <c r="I20" s="168"/>
      <c r="J20" s="168"/>
      <c r="K20" s="188"/>
      <c r="L20" s="188"/>
      <c r="M20" s="188"/>
      <c r="N20" s="188"/>
      <c r="O20" s="188"/>
      <c r="P20" s="188"/>
      <c r="Q20" s="188"/>
      <c r="R20" s="188"/>
      <c r="S20" s="188"/>
      <c r="T20" s="188"/>
      <c r="U20" s="188"/>
      <c r="V20" s="188"/>
      <c r="W20" s="188"/>
      <c r="X20" s="188"/>
      <c r="Y20" s="188"/>
      <c r="Z20" s="188"/>
      <c r="AA20" s="188"/>
      <c r="AB20" s="188"/>
      <c r="AC20" s="188"/>
      <c r="AD20" s="188"/>
      <c r="AE20" s="188"/>
      <c r="AF20" s="188"/>
      <c r="AG20" s="188"/>
      <c r="AH20" s="188"/>
    </row>
    <row r="21" ht="303.75" customHeight="1">
      <c r="A21" s="27"/>
      <c r="B21" s="184"/>
      <c r="C21" t="s" s="185">
        <f>IF('5. Area Habitats'!D17=0,"",'5. Area Habitats'!D17)</f>
      </c>
      <c r="D21" s="186"/>
      <c r="E21" s="187"/>
      <c r="F21" s="33"/>
      <c r="G21" s="80"/>
      <c r="H21" s="168"/>
      <c r="I21" s="168"/>
      <c r="J21" s="168"/>
      <c r="K21" s="188"/>
      <c r="L21" s="188"/>
      <c r="M21" s="188"/>
      <c r="N21" s="188"/>
      <c r="O21" s="188"/>
      <c r="P21" s="188"/>
      <c r="Q21" s="188"/>
      <c r="R21" s="188"/>
      <c r="S21" s="188"/>
      <c r="T21" s="188"/>
      <c r="U21" s="188"/>
      <c r="V21" s="188"/>
      <c r="W21" s="188"/>
      <c r="X21" s="188"/>
      <c r="Y21" s="188"/>
      <c r="Z21" s="188"/>
      <c r="AA21" s="188"/>
      <c r="AB21" s="188"/>
      <c r="AC21" s="188"/>
      <c r="AD21" s="188"/>
      <c r="AE21" s="188"/>
      <c r="AF21" s="188"/>
      <c r="AG21" s="188"/>
      <c r="AH21" s="188"/>
    </row>
    <row r="22" ht="33" customHeight="1">
      <c r="A22" s="27"/>
      <c r="B22" s="180">
        <v>8</v>
      </c>
      <c r="C22" t="s" s="181">
        <v>93</v>
      </c>
      <c r="D22" s="189"/>
      <c r="E22" s="183"/>
      <c r="F22" s="33"/>
      <c r="G22" s="80"/>
      <c r="H22" s="168"/>
      <c r="I22" s="168"/>
      <c r="J22" s="168"/>
      <c r="K22" s="188"/>
      <c r="L22" s="188"/>
      <c r="M22" s="188"/>
      <c r="N22" s="188"/>
      <c r="O22" s="188"/>
      <c r="P22" s="188"/>
      <c r="Q22" s="188"/>
      <c r="R22" s="188"/>
      <c r="S22" s="188"/>
      <c r="T22" s="188"/>
      <c r="U22" s="188"/>
      <c r="V22" s="188"/>
      <c r="W22" s="188"/>
      <c r="X22" s="188"/>
      <c r="Y22" s="188"/>
      <c r="Z22" s="188"/>
      <c r="AA22" s="188"/>
      <c r="AB22" s="188"/>
      <c r="AC22" s="188"/>
      <c r="AD22" s="188"/>
      <c r="AE22" s="188"/>
      <c r="AF22" s="188"/>
      <c r="AG22" s="188"/>
      <c r="AH22" s="188"/>
    </row>
    <row r="23" ht="303.75" customHeight="1">
      <c r="A23" s="27"/>
      <c r="B23" s="184"/>
      <c r="C23" t="s" s="185">
        <f>IF('5. Area Habitats'!D18=0,"",'5. Area Habitats'!D18)</f>
      </c>
      <c r="D23" s="186"/>
      <c r="E23" s="187"/>
      <c r="F23" s="33"/>
      <c r="G23" s="80"/>
      <c r="H23" s="168"/>
      <c r="I23" s="168"/>
      <c r="J23" s="168"/>
      <c r="K23" s="188"/>
      <c r="L23" s="188"/>
      <c r="M23" s="188"/>
      <c r="N23" s="188"/>
      <c r="O23" s="188"/>
      <c r="P23" s="188"/>
      <c r="Q23" s="188"/>
      <c r="R23" s="188"/>
      <c r="S23" s="188"/>
      <c r="T23" s="188"/>
      <c r="U23" s="188"/>
      <c r="V23" s="188"/>
      <c r="W23" s="188"/>
      <c r="X23" s="188"/>
      <c r="Y23" s="188"/>
      <c r="Z23" s="188"/>
      <c r="AA23" s="188"/>
      <c r="AB23" s="188"/>
      <c r="AC23" s="188"/>
      <c r="AD23" s="188"/>
      <c r="AE23" s="188"/>
      <c r="AF23" s="188"/>
      <c r="AG23" s="188"/>
      <c r="AH23" s="188"/>
    </row>
    <row r="24" ht="33" customHeight="1">
      <c r="A24" s="27"/>
      <c r="B24" s="180">
        <v>9</v>
      </c>
      <c r="C24" t="s" s="181">
        <v>93</v>
      </c>
      <c r="D24" s="189"/>
      <c r="E24" s="183"/>
      <c r="F24" s="33"/>
      <c r="G24" s="80"/>
      <c r="H24" s="168"/>
      <c r="I24" s="168"/>
      <c r="J24" s="168"/>
      <c r="K24" s="188"/>
      <c r="L24" s="188"/>
      <c r="M24" s="188"/>
      <c r="N24" s="188"/>
      <c r="O24" s="188"/>
      <c r="P24" s="188"/>
      <c r="Q24" s="188"/>
      <c r="R24" s="188"/>
      <c r="S24" s="188"/>
      <c r="T24" s="188"/>
      <c r="U24" s="188"/>
      <c r="V24" s="188"/>
      <c r="W24" s="188"/>
      <c r="X24" s="188"/>
      <c r="Y24" s="188"/>
      <c r="Z24" s="188"/>
      <c r="AA24" s="188"/>
      <c r="AB24" s="188"/>
      <c r="AC24" s="188"/>
      <c r="AD24" s="188"/>
      <c r="AE24" s="188"/>
      <c r="AF24" s="188"/>
      <c r="AG24" s="188"/>
      <c r="AH24" s="188"/>
    </row>
    <row r="25" ht="303.75" customHeight="1">
      <c r="A25" s="27"/>
      <c r="B25" s="184"/>
      <c r="C25" t="s" s="185">
        <f>IF('5. Area Habitats'!D19=0,"",'5. Area Habitats'!D19)</f>
      </c>
      <c r="D25" s="186"/>
      <c r="E25" s="187"/>
      <c r="F25" s="33"/>
      <c r="G25" s="80"/>
      <c r="H25" s="168"/>
      <c r="I25" s="168"/>
      <c r="J25" s="168"/>
      <c r="K25" s="188"/>
      <c r="L25" s="188"/>
      <c r="M25" s="188"/>
      <c r="N25" s="188"/>
      <c r="O25" s="188"/>
      <c r="P25" s="188"/>
      <c r="Q25" s="188"/>
      <c r="R25" s="188"/>
      <c r="S25" s="188"/>
      <c r="T25" s="188"/>
      <c r="U25" s="188"/>
      <c r="V25" s="188"/>
      <c r="W25" s="188"/>
      <c r="X25" s="188"/>
      <c r="Y25" s="188"/>
      <c r="Z25" s="188"/>
      <c r="AA25" s="188"/>
      <c r="AB25" s="188"/>
      <c r="AC25" s="188"/>
      <c r="AD25" s="188"/>
      <c r="AE25" s="188"/>
      <c r="AF25" s="188"/>
      <c r="AG25" s="188"/>
      <c r="AH25" s="188"/>
    </row>
    <row r="26" ht="33" customHeight="1">
      <c r="A26" s="27"/>
      <c r="B26" s="180">
        <v>10</v>
      </c>
      <c r="C26" t="s" s="181">
        <v>93</v>
      </c>
      <c r="D26" s="189"/>
      <c r="E26" s="183"/>
      <c r="F26" s="33"/>
      <c r="G26" s="80"/>
      <c r="H26" s="168"/>
      <c r="I26" s="168"/>
      <c r="J26" s="168"/>
      <c r="K26" s="188"/>
      <c r="L26" s="188"/>
      <c r="M26" s="188"/>
      <c r="N26" s="188"/>
      <c r="O26" s="188"/>
      <c r="P26" s="188"/>
      <c r="Q26" s="188"/>
      <c r="R26" s="188"/>
      <c r="S26" s="188"/>
      <c r="T26" s="188"/>
      <c r="U26" s="188"/>
      <c r="V26" s="188"/>
      <c r="W26" s="188"/>
      <c r="X26" s="188"/>
      <c r="Y26" s="188"/>
      <c r="Z26" s="188"/>
      <c r="AA26" s="188"/>
      <c r="AB26" s="188"/>
      <c r="AC26" s="188"/>
      <c r="AD26" s="188"/>
      <c r="AE26" s="188"/>
      <c r="AF26" s="188"/>
      <c r="AG26" s="188"/>
      <c r="AH26" s="188"/>
    </row>
    <row r="27" ht="303.75" customHeight="1">
      <c r="A27" s="27"/>
      <c r="B27" s="184"/>
      <c r="C27" t="s" s="185">
        <f>IF('5. Area Habitats'!D20=0,"",'5. Area Habitats'!D20)</f>
      </c>
      <c r="D27" s="186"/>
      <c r="E27" s="187"/>
      <c r="F27" s="33"/>
      <c r="G27" s="80"/>
      <c r="H27" s="168"/>
      <c r="I27" s="168"/>
      <c r="J27" s="168"/>
      <c r="K27" s="188"/>
      <c r="L27" s="188"/>
      <c r="M27" s="188"/>
      <c r="N27" s="188"/>
      <c r="O27" s="188"/>
      <c r="P27" s="188"/>
      <c r="Q27" s="188"/>
      <c r="R27" s="188"/>
      <c r="S27" s="188"/>
      <c r="T27" s="188"/>
      <c r="U27" s="188"/>
      <c r="V27" s="188"/>
      <c r="W27" s="188"/>
      <c r="X27" s="188"/>
      <c r="Y27" s="188"/>
      <c r="Z27" s="188"/>
      <c r="AA27" s="188"/>
      <c r="AB27" s="188"/>
      <c r="AC27" s="188"/>
      <c r="AD27" s="188"/>
      <c r="AE27" s="188"/>
      <c r="AF27" s="188"/>
      <c r="AG27" s="188"/>
      <c r="AH27" s="188"/>
    </row>
    <row r="28" ht="33" customHeight="1">
      <c r="A28" s="27"/>
      <c r="B28" s="180">
        <v>11</v>
      </c>
      <c r="C28" t="s" s="181">
        <v>93</v>
      </c>
      <c r="D28" s="189"/>
      <c r="E28" s="183"/>
      <c r="F28" s="33"/>
      <c r="G28" s="80"/>
      <c r="H28" s="168"/>
      <c r="I28" s="168"/>
      <c r="J28" s="168"/>
      <c r="K28" s="188"/>
      <c r="L28" s="188"/>
      <c r="M28" s="188"/>
      <c r="N28" s="188"/>
      <c r="O28" s="188"/>
      <c r="P28" s="188"/>
      <c r="Q28" s="188"/>
      <c r="R28" s="188"/>
      <c r="S28" s="188"/>
      <c r="T28" s="188"/>
      <c r="U28" s="188"/>
      <c r="V28" s="188"/>
      <c r="W28" s="188"/>
      <c r="X28" s="188"/>
      <c r="Y28" s="188"/>
      <c r="Z28" s="188"/>
      <c r="AA28" s="188"/>
      <c r="AB28" s="188"/>
      <c r="AC28" s="188"/>
      <c r="AD28" s="188"/>
      <c r="AE28" s="188"/>
      <c r="AF28" s="188"/>
      <c r="AG28" s="188"/>
      <c r="AH28" s="188"/>
    </row>
    <row r="29" ht="303.75" customHeight="1">
      <c r="A29" s="27"/>
      <c r="B29" s="184"/>
      <c r="C29" t="s" s="185">
        <f>IF('5. Area Habitats'!D21=0,"",'5. Area Habitats'!D21)</f>
      </c>
      <c r="D29" s="186"/>
      <c r="E29" s="187"/>
      <c r="F29" s="33"/>
      <c r="G29" s="80"/>
      <c r="H29" s="168"/>
      <c r="I29" s="168"/>
      <c r="J29" s="168"/>
      <c r="K29" s="188"/>
      <c r="L29" s="188"/>
      <c r="M29" s="188"/>
      <c r="N29" s="188"/>
      <c r="O29" s="188"/>
      <c r="P29" s="188"/>
      <c r="Q29" s="188"/>
      <c r="R29" s="188"/>
      <c r="S29" s="188"/>
      <c r="T29" s="188"/>
      <c r="U29" s="188"/>
      <c r="V29" s="188"/>
      <c r="W29" s="188"/>
      <c r="X29" s="188"/>
      <c r="Y29" s="188"/>
      <c r="Z29" s="188"/>
      <c r="AA29" s="188"/>
      <c r="AB29" s="188"/>
      <c r="AC29" s="188"/>
      <c r="AD29" s="188"/>
      <c r="AE29" s="188"/>
      <c r="AF29" s="188"/>
      <c r="AG29" s="188"/>
      <c r="AH29" s="188"/>
    </row>
    <row r="30" ht="33" customHeight="1">
      <c r="A30" s="27"/>
      <c r="B30" s="180">
        <v>12</v>
      </c>
      <c r="C30" t="s" s="181">
        <v>93</v>
      </c>
      <c r="D30" s="189"/>
      <c r="E30" s="183"/>
      <c r="F30" s="33"/>
      <c r="G30" s="80"/>
      <c r="H30" s="168"/>
      <c r="I30" s="168"/>
      <c r="J30" s="168"/>
      <c r="K30" s="188"/>
      <c r="L30" s="188"/>
      <c r="M30" s="188"/>
      <c r="N30" s="188"/>
      <c r="O30" s="188"/>
      <c r="P30" s="188"/>
      <c r="Q30" s="188"/>
      <c r="R30" s="188"/>
      <c r="S30" s="188"/>
      <c r="T30" s="188"/>
      <c r="U30" s="188"/>
      <c r="V30" s="188"/>
      <c r="W30" s="188"/>
      <c r="X30" s="188"/>
      <c r="Y30" s="188"/>
      <c r="Z30" s="188"/>
      <c r="AA30" s="188"/>
      <c r="AB30" s="188"/>
      <c r="AC30" s="188"/>
      <c r="AD30" s="188"/>
      <c r="AE30" s="188"/>
      <c r="AF30" s="188"/>
      <c r="AG30" s="188"/>
      <c r="AH30" s="188"/>
    </row>
    <row r="31" ht="303.75" customHeight="1">
      <c r="A31" s="27"/>
      <c r="B31" s="184"/>
      <c r="C31" t="s" s="185">
        <f>IF('5. Area Habitats'!D22=0,"",'5. Area Habitats'!D22)</f>
      </c>
      <c r="D31" s="186"/>
      <c r="E31" s="187"/>
      <c r="F31" s="33"/>
      <c r="G31" s="80"/>
      <c r="H31" s="168"/>
      <c r="I31" s="168"/>
      <c r="J31" s="168"/>
      <c r="K31" s="188"/>
      <c r="L31" s="188"/>
      <c r="M31" s="188"/>
      <c r="N31" s="188"/>
      <c r="O31" s="188"/>
      <c r="P31" s="188"/>
      <c r="Q31" s="188"/>
      <c r="R31" s="188"/>
      <c r="S31" s="188"/>
      <c r="T31" s="188"/>
      <c r="U31" s="188"/>
      <c r="V31" s="188"/>
      <c r="W31" s="188"/>
      <c r="X31" s="188"/>
      <c r="Y31" s="188"/>
      <c r="Z31" s="188"/>
      <c r="AA31" s="188"/>
      <c r="AB31" s="188"/>
      <c r="AC31" s="188"/>
      <c r="AD31" s="188"/>
      <c r="AE31" s="188"/>
      <c r="AF31" s="188"/>
      <c r="AG31" s="188"/>
      <c r="AH31" s="188"/>
    </row>
    <row r="32" ht="33" customHeight="1">
      <c r="A32" s="27"/>
      <c r="B32" s="180">
        <v>13</v>
      </c>
      <c r="C32" t="s" s="181">
        <v>93</v>
      </c>
      <c r="D32" s="189"/>
      <c r="E32" s="183"/>
      <c r="F32" s="33"/>
      <c r="G32" s="80"/>
      <c r="H32" s="168"/>
      <c r="I32" s="168"/>
      <c r="J32" s="168"/>
      <c r="K32" s="188"/>
      <c r="L32" s="188"/>
      <c r="M32" s="188"/>
      <c r="N32" s="188"/>
      <c r="O32" s="188"/>
      <c r="P32" s="188"/>
      <c r="Q32" s="188"/>
      <c r="R32" s="188"/>
      <c r="S32" s="188"/>
      <c r="T32" s="188"/>
      <c r="U32" s="188"/>
      <c r="V32" s="188"/>
      <c r="W32" s="188"/>
      <c r="X32" s="188"/>
      <c r="Y32" s="188"/>
      <c r="Z32" s="188"/>
      <c r="AA32" s="188"/>
      <c r="AB32" s="188"/>
      <c r="AC32" s="188"/>
      <c r="AD32" s="188"/>
      <c r="AE32" s="188"/>
      <c r="AF32" s="188"/>
      <c r="AG32" s="188"/>
      <c r="AH32" s="188"/>
    </row>
    <row r="33" ht="303.75" customHeight="1">
      <c r="A33" s="27"/>
      <c r="B33" s="184"/>
      <c r="C33" t="s" s="185">
        <f>IF('5. Area Habitats'!D23=0,"",'5. Area Habitats'!D23)</f>
      </c>
      <c r="D33" s="186"/>
      <c r="E33" s="187"/>
      <c r="F33" s="33"/>
      <c r="G33" s="80"/>
      <c r="H33" s="168"/>
      <c r="I33" s="168"/>
      <c r="J33" s="168"/>
      <c r="K33" s="188"/>
      <c r="L33" s="188"/>
      <c r="M33" s="188"/>
      <c r="N33" s="188"/>
      <c r="O33" s="188"/>
      <c r="P33" s="188"/>
      <c r="Q33" s="188"/>
      <c r="R33" s="188"/>
      <c r="S33" s="188"/>
      <c r="T33" s="188"/>
      <c r="U33" s="188"/>
      <c r="V33" s="188"/>
      <c r="W33" s="188"/>
      <c r="X33" s="188"/>
      <c r="Y33" s="188"/>
      <c r="Z33" s="188"/>
      <c r="AA33" s="188"/>
      <c r="AB33" s="188"/>
      <c r="AC33" s="188"/>
      <c r="AD33" s="188"/>
      <c r="AE33" s="188"/>
      <c r="AF33" s="188"/>
      <c r="AG33" s="188"/>
      <c r="AH33" s="188"/>
    </row>
    <row r="34" ht="33" customHeight="1">
      <c r="A34" s="27"/>
      <c r="B34" s="180">
        <v>14</v>
      </c>
      <c r="C34" t="s" s="181">
        <v>93</v>
      </c>
      <c r="D34" s="189"/>
      <c r="E34" s="183"/>
      <c r="F34" s="33"/>
      <c r="G34" s="80"/>
      <c r="H34" s="168"/>
      <c r="I34" s="168"/>
      <c r="J34" s="168"/>
      <c r="K34" s="188"/>
      <c r="L34" s="188"/>
      <c r="M34" s="188"/>
      <c r="N34" s="188"/>
      <c r="O34" s="188"/>
      <c r="P34" s="188"/>
      <c r="Q34" s="188"/>
      <c r="R34" s="188"/>
      <c r="S34" s="188"/>
      <c r="T34" s="188"/>
      <c r="U34" s="188"/>
      <c r="V34" s="188"/>
      <c r="W34" s="188"/>
      <c r="X34" s="188"/>
      <c r="Y34" s="188"/>
      <c r="Z34" s="188"/>
      <c r="AA34" s="188"/>
      <c r="AB34" s="188"/>
      <c r="AC34" s="188"/>
      <c r="AD34" s="188"/>
      <c r="AE34" s="188"/>
      <c r="AF34" s="188"/>
      <c r="AG34" s="188"/>
      <c r="AH34" s="188"/>
    </row>
    <row r="35" ht="303.75" customHeight="1">
      <c r="A35" s="27"/>
      <c r="B35" s="184"/>
      <c r="C35" t="s" s="185">
        <f>IF('5. Area Habitats'!D24=0,"",'5. Area Habitats'!D24)</f>
      </c>
      <c r="D35" s="186"/>
      <c r="E35" s="187"/>
      <c r="F35" s="33"/>
      <c r="G35" s="80"/>
      <c r="H35" s="168"/>
      <c r="I35" s="168"/>
      <c r="J35" s="168"/>
      <c r="K35" s="188"/>
      <c r="L35" s="188"/>
      <c r="M35" s="188"/>
      <c r="N35" s="188"/>
      <c r="O35" s="188"/>
      <c r="P35" s="188"/>
      <c r="Q35" s="188"/>
      <c r="R35" s="188"/>
      <c r="S35" s="188"/>
      <c r="T35" s="188"/>
      <c r="U35" s="188"/>
      <c r="V35" s="188"/>
      <c r="W35" s="188"/>
      <c r="X35" s="188"/>
      <c r="Y35" s="188"/>
      <c r="Z35" s="188"/>
      <c r="AA35" s="188"/>
      <c r="AB35" s="188"/>
      <c r="AC35" s="188"/>
      <c r="AD35" s="188"/>
      <c r="AE35" s="188"/>
      <c r="AF35" s="188"/>
      <c r="AG35" s="188"/>
      <c r="AH35" s="188"/>
    </row>
    <row r="36" ht="33" customHeight="1">
      <c r="A36" s="27"/>
      <c r="B36" s="180">
        <v>15</v>
      </c>
      <c r="C36" t="s" s="181">
        <v>93</v>
      </c>
      <c r="D36" s="189"/>
      <c r="E36" s="183"/>
      <c r="F36" s="33"/>
      <c r="G36" s="80"/>
      <c r="H36" s="168"/>
      <c r="I36" s="168"/>
      <c r="J36" s="168"/>
      <c r="K36" s="188"/>
      <c r="L36" s="188"/>
      <c r="M36" s="188"/>
      <c r="N36" s="188"/>
      <c r="O36" s="188"/>
      <c r="P36" s="188"/>
      <c r="Q36" s="188"/>
      <c r="R36" s="188"/>
      <c r="S36" s="188"/>
      <c r="T36" s="188"/>
      <c r="U36" s="188"/>
      <c r="V36" s="188"/>
      <c r="W36" s="188"/>
      <c r="X36" s="188"/>
      <c r="Y36" s="188"/>
      <c r="Z36" s="188"/>
      <c r="AA36" s="188"/>
      <c r="AB36" s="188"/>
      <c r="AC36" s="188"/>
      <c r="AD36" s="188"/>
      <c r="AE36" s="188"/>
      <c r="AF36" s="188"/>
      <c r="AG36" s="188"/>
      <c r="AH36" s="188"/>
    </row>
    <row r="37" ht="303.75" customHeight="1">
      <c r="A37" s="27"/>
      <c r="B37" s="184"/>
      <c r="C37" t="s" s="185">
        <f>IF('5. Area Habitats'!D25=0,"",'5. Area Habitats'!D25)</f>
      </c>
      <c r="D37" s="186"/>
      <c r="E37" s="187"/>
      <c r="F37" s="33"/>
      <c r="G37" s="80"/>
      <c r="H37" s="168"/>
      <c r="I37" s="168"/>
      <c r="J37" s="168"/>
      <c r="K37" s="188"/>
      <c r="L37" s="188"/>
      <c r="M37" s="188"/>
      <c r="N37" s="188"/>
      <c r="O37" s="188"/>
      <c r="P37" s="188"/>
      <c r="Q37" s="188"/>
      <c r="R37" s="188"/>
      <c r="S37" s="188"/>
      <c r="T37" s="188"/>
      <c r="U37" s="188"/>
      <c r="V37" s="188"/>
      <c r="W37" s="188"/>
      <c r="X37" s="188"/>
      <c r="Y37" s="188"/>
      <c r="Z37" s="188"/>
      <c r="AA37" s="188"/>
      <c r="AB37" s="188"/>
      <c r="AC37" s="188"/>
      <c r="AD37" s="188"/>
      <c r="AE37" s="188"/>
      <c r="AF37" s="188"/>
      <c r="AG37" s="188"/>
      <c r="AH37" s="188"/>
    </row>
    <row r="38" ht="33" customHeight="1">
      <c r="A38" s="27"/>
      <c r="B38" s="180">
        <v>16</v>
      </c>
      <c r="C38" t="s" s="181">
        <v>93</v>
      </c>
      <c r="D38" s="189"/>
      <c r="E38" s="183"/>
      <c r="F38" s="33"/>
      <c r="G38" s="80"/>
      <c r="H38" s="168"/>
      <c r="I38" s="168"/>
      <c r="J38" s="168"/>
      <c r="K38" s="188"/>
      <c r="L38" s="188"/>
      <c r="M38" s="188"/>
      <c r="N38" s="188"/>
      <c r="O38" s="188"/>
      <c r="P38" s="188"/>
      <c r="Q38" s="188"/>
      <c r="R38" s="188"/>
      <c r="S38" s="188"/>
      <c r="T38" s="188"/>
      <c r="U38" s="188"/>
      <c r="V38" s="188"/>
      <c r="W38" s="188"/>
      <c r="X38" s="188"/>
      <c r="Y38" s="188"/>
      <c r="Z38" s="188"/>
      <c r="AA38" s="188"/>
      <c r="AB38" s="188"/>
      <c r="AC38" s="188"/>
      <c r="AD38" s="188"/>
      <c r="AE38" s="188"/>
      <c r="AF38" s="188"/>
      <c r="AG38" s="188"/>
      <c r="AH38" s="188"/>
    </row>
    <row r="39" ht="303.75" customHeight="1">
      <c r="A39" s="27"/>
      <c r="B39" s="184"/>
      <c r="C39" t="s" s="185">
        <f>IF('5. Area Habitats'!D26=0,"",'5. Area Habitats'!D26)</f>
      </c>
      <c r="D39" s="186"/>
      <c r="E39" s="187"/>
      <c r="F39" s="33"/>
      <c r="G39" s="80"/>
      <c r="H39" s="168"/>
      <c r="I39" s="168"/>
      <c r="J39" s="168"/>
      <c r="K39" s="188"/>
      <c r="L39" s="188"/>
      <c r="M39" s="188"/>
      <c r="N39" s="188"/>
      <c r="O39" s="188"/>
      <c r="P39" s="188"/>
      <c r="Q39" s="188"/>
      <c r="R39" s="188"/>
      <c r="S39" s="188"/>
      <c r="T39" s="188"/>
      <c r="U39" s="188"/>
      <c r="V39" s="188"/>
      <c r="W39" s="188"/>
      <c r="X39" s="188"/>
      <c r="Y39" s="188"/>
      <c r="Z39" s="188"/>
      <c r="AA39" s="188"/>
      <c r="AB39" s="188"/>
      <c r="AC39" s="188"/>
      <c r="AD39" s="188"/>
      <c r="AE39" s="188"/>
      <c r="AF39" s="188"/>
      <c r="AG39" s="188"/>
      <c r="AH39" s="188"/>
    </row>
    <row r="40" ht="33" customHeight="1">
      <c r="A40" s="27"/>
      <c r="B40" s="180">
        <v>17</v>
      </c>
      <c r="C40" t="s" s="181">
        <v>93</v>
      </c>
      <c r="D40" s="189"/>
      <c r="E40" s="183"/>
      <c r="F40" s="33"/>
      <c r="G40" s="80"/>
      <c r="H40" s="168"/>
      <c r="I40" s="168"/>
      <c r="J40" s="168"/>
      <c r="K40" s="188"/>
      <c r="L40" s="188"/>
      <c r="M40" s="188"/>
      <c r="N40" s="188"/>
      <c r="O40" s="188"/>
      <c r="P40" s="188"/>
      <c r="Q40" s="188"/>
      <c r="R40" s="188"/>
      <c r="S40" s="188"/>
      <c r="T40" s="188"/>
      <c r="U40" s="188"/>
      <c r="V40" s="188"/>
      <c r="W40" s="188"/>
      <c r="X40" s="188"/>
      <c r="Y40" s="188"/>
      <c r="Z40" s="188"/>
      <c r="AA40" s="188"/>
      <c r="AB40" s="188"/>
      <c r="AC40" s="188"/>
      <c r="AD40" s="188"/>
      <c r="AE40" s="188"/>
      <c r="AF40" s="188"/>
      <c r="AG40" s="188"/>
      <c r="AH40" s="188"/>
    </row>
    <row r="41" ht="303.75" customHeight="1">
      <c r="A41" s="27"/>
      <c r="B41" s="184"/>
      <c r="C41" t="s" s="185">
        <f>IF('5. Area Habitats'!D27=0,"",'5. Area Habitats'!D27)</f>
      </c>
      <c r="D41" s="186"/>
      <c r="E41" s="187"/>
      <c r="F41" s="33"/>
      <c r="G41" s="80"/>
      <c r="H41" s="168"/>
      <c r="I41" s="168"/>
      <c r="J41" s="168"/>
      <c r="K41" s="188"/>
      <c r="L41" s="188"/>
      <c r="M41" s="188"/>
      <c r="N41" s="188"/>
      <c r="O41" s="188"/>
      <c r="P41" s="188"/>
      <c r="Q41" s="188"/>
      <c r="R41" s="188"/>
      <c r="S41" s="188"/>
      <c r="T41" s="188"/>
      <c r="U41" s="188"/>
      <c r="V41" s="188"/>
      <c r="W41" s="188"/>
      <c r="X41" s="188"/>
      <c r="Y41" s="188"/>
      <c r="Z41" s="188"/>
      <c r="AA41" s="188"/>
      <c r="AB41" s="188"/>
      <c r="AC41" s="188"/>
      <c r="AD41" s="188"/>
      <c r="AE41" s="188"/>
      <c r="AF41" s="188"/>
      <c r="AG41" s="188"/>
      <c r="AH41" s="188"/>
    </row>
    <row r="42" ht="33" customHeight="1">
      <c r="A42" s="27"/>
      <c r="B42" s="180">
        <v>18</v>
      </c>
      <c r="C42" t="s" s="181">
        <v>93</v>
      </c>
      <c r="D42" s="189"/>
      <c r="E42" s="183"/>
      <c r="F42" s="33"/>
      <c r="G42" s="80"/>
      <c r="H42" s="168"/>
      <c r="I42" s="168"/>
      <c r="J42" s="168"/>
      <c r="K42" s="188"/>
      <c r="L42" s="188"/>
      <c r="M42" s="188"/>
      <c r="N42" s="188"/>
      <c r="O42" s="188"/>
      <c r="P42" s="188"/>
      <c r="Q42" s="188"/>
      <c r="R42" s="188"/>
      <c r="S42" s="188"/>
      <c r="T42" s="188"/>
      <c r="U42" s="188"/>
      <c r="V42" s="188"/>
      <c r="W42" s="188"/>
      <c r="X42" s="188"/>
      <c r="Y42" s="188"/>
      <c r="Z42" s="188"/>
      <c r="AA42" s="188"/>
      <c r="AB42" s="188"/>
      <c r="AC42" s="188"/>
      <c r="AD42" s="188"/>
      <c r="AE42" s="188"/>
      <c r="AF42" s="188"/>
      <c r="AG42" s="188"/>
      <c r="AH42" s="188"/>
    </row>
    <row r="43" ht="303.75" customHeight="1">
      <c r="A43" s="27"/>
      <c r="B43" s="184"/>
      <c r="C43" t="s" s="185">
        <f>IF('5. Area Habitats'!D28=0,"",'5. Area Habitats'!D28)</f>
      </c>
      <c r="D43" s="186"/>
      <c r="E43" s="187"/>
      <c r="F43" s="33"/>
      <c r="G43" s="80"/>
      <c r="H43" s="168"/>
      <c r="I43" s="168"/>
      <c r="J43" s="168"/>
      <c r="K43" s="188"/>
      <c r="L43" s="188"/>
      <c r="M43" s="188"/>
      <c r="N43" s="188"/>
      <c r="O43" s="188"/>
      <c r="P43" s="188"/>
      <c r="Q43" s="188"/>
      <c r="R43" s="188"/>
      <c r="S43" s="188"/>
      <c r="T43" s="188"/>
      <c r="U43" s="188"/>
      <c r="V43" s="188"/>
      <c r="W43" s="188"/>
      <c r="X43" s="188"/>
      <c r="Y43" s="188"/>
      <c r="Z43" s="188"/>
      <c r="AA43" s="188"/>
      <c r="AB43" s="188"/>
      <c r="AC43" s="188"/>
      <c r="AD43" s="188"/>
      <c r="AE43" s="188"/>
      <c r="AF43" s="188"/>
      <c r="AG43" s="188"/>
      <c r="AH43" s="188"/>
    </row>
    <row r="44" ht="33" customHeight="1">
      <c r="A44" s="27"/>
      <c r="B44" s="180">
        <v>19</v>
      </c>
      <c r="C44" t="s" s="181">
        <v>93</v>
      </c>
      <c r="D44" s="189"/>
      <c r="E44" s="183"/>
      <c r="F44" s="33"/>
      <c r="G44" s="80"/>
      <c r="H44" s="168"/>
      <c r="I44" s="168"/>
      <c r="J44" s="168"/>
      <c r="K44" s="188"/>
      <c r="L44" s="188"/>
      <c r="M44" s="188"/>
      <c r="N44" s="188"/>
      <c r="O44" s="188"/>
      <c r="P44" s="188"/>
      <c r="Q44" s="188"/>
      <c r="R44" s="188"/>
      <c r="S44" s="188"/>
      <c r="T44" s="188"/>
      <c r="U44" s="188"/>
      <c r="V44" s="188"/>
      <c r="W44" s="188"/>
      <c r="X44" s="188"/>
      <c r="Y44" s="188"/>
      <c r="Z44" s="188"/>
      <c r="AA44" s="188"/>
      <c r="AB44" s="188"/>
      <c r="AC44" s="188"/>
      <c r="AD44" s="188"/>
      <c r="AE44" s="188"/>
      <c r="AF44" s="188"/>
      <c r="AG44" s="188"/>
      <c r="AH44" s="188"/>
    </row>
    <row r="45" ht="303.75" customHeight="1">
      <c r="A45" s="27"/>
      <c r="B45" s="184"/>
      <c r="C45" t="s" s="185">
        <f>IF('5. Area Habitats'!D29=0,"",'5. Area Habitats'!D29)</f>
      </c>
      <c r="D45" s="186"/>
      <c r="E45" s="187"/>
      <c r="F45" s="33"/>
      <c r="G45" s="80"/>
      <c r="H45" s="168"/>
      <c r="I45" s="168"/>
      <c r="J45" s="168"/>
      <c r="K45" s="188"/>
      <c r="L45" s="188"/>
      <c r="M45" s="188"/>
      <c r="N45" s="188"/>
      <c r="O45" s="188"/>
      <c r="P45" s="188"/>
      <c r="Q45" s="188"/>
      <c r="R45" s="188"/>
      <c r="S45" s="188"/>
      <c r="T45" s="188"/>
      <c r="U45" s="188"/>
      <c r="V45" s="188"/>
      <c r="W45" s="188"/>
      <c r="X45" s="188"/>
      <c r="Y45" s="188"/>
      <c r="Z45" s="188"/>
      <c r="AA45" s="188"/>
      <c r="AB45" s="188"/>
      <c r="AC45" s="188"/>
      <c r="AD45" s="188"/>
      <c r="AE45" s="188"/>
      <c r="AF45" s="188"/>
      <c r="AG45" s="188"/>
      <c r="AH45" s="188"/>
    </row>
    <row r="46" ht="33" customHeight="1">
      <c r="A46" s="27"/>
      <c r="B46" s="180">
        <v>20</v>
      </c>
      <c r="C46" t="s" s="181">
        <v>93</v>
      </c>
      <c r="D46" s="189"/>
      <c r="E46" s="183"/>
      <c r="F46" s="33"/>
      <c r="G46" s="80"/>
      <c r="H46" s="168"/>
      <c r="I46" s="168"/>
      <c r="J46" s="168"/>
      <c r="K46" s="188"/>
      <c r="L46" s="188"/>
      <c r="M46" s="188"/>
      <c r="N46" s="188"/>
      <c r="O46" s="188"/>
      <c r="P46" s="188"/>
      <c r="Q46" s="188"/>
      <c r="R46" s="188"/>
      <c r="S46" s="188"/>
      <c r="T46" s="188"/>
      <c r="U46" s="188"/>
      <c r="V46" s="188"/>
      <c r="W46" s="188"/>
      <c r="X46" s="188"/>
      <c r="Y46" s="188"/>
      <c r="Z46" s="188"/>
      <c r="AA46" s="188"/>
      <c r="AB46" s="188"/>
      <c r="AC46" s="188"/>
      <c r="AD46" s="188"/>
      <c r="AE46" s="188"/>
      <c r="AF46" s="188"/>
      <c r="AG46" s="188"/>
      <c r="AH46" s="188"/>
    </row>
    <row r="47" ht="303.75" customHeight="1">
      <c r="A47" s="27"/>
      <c r="B47" s="184"/>
      <c r="C47" t="s" s="185">
        <f>IF('5. Area Habitats'!D30=0,"",'5. Area Habitats'!D30)</f>
      </c>
      <c r="D47" s="186"/>
      <c r="E47" s="187"/>
      <c r="F47" s="33"/>
      <c r="G47" s="80"/>
      <c r="H47" s="168"/>
      <c r="I47" s="168"/>
      <c r="J47" s="168"/>
      <c r="K47" s="188"/>
      <c r="L47" s="188"/>
      <c r="M47" s="188"/>
      <c r="N47" s="188"/>
      <c r="O47" s="188"/>
      <c r="P47" s="188"/>
      <c r="Q47" s="188"/>
      <c r="R47" s="188"/>
      <c r="S47" s="188"/>
      <c r="T47" s="188"/>
      <c r="U47" s="188"/>
      <c r="V47" s="188"/>
      <c r="W47" s="188"/>
      <c r="X47" s="188"/>
      <c r="Y47" s="188"/>
      <c r="Z47" s="188"/>
      <c r="AA47" s="188"/>
      <c r="AB47" s="188"/>
      <c r="AC47" s="188"/>
      <c r="AD47" s="188"/>
      <c r="AE47" s="188"/>
      <c r="AF47" s="188"/>
      <c r="AG47" s="188"/>
      <c r="AH47" s="188"/>
    </row>
    <row r="48" ht="15" customHeight="1">
      <c r="A48" s="10"/>
      <c r="B48" s="71"/>
      <c r="C48" s="71"/>
      <c r="D48" s="71"/>
      <c r="E48" s="71"/>
      <c r="F48" s="11"/>
      <c r="G48" s="80"/>
      <c r="H48" s="168"/>
      <c r="I48" s="168"/>
      <c r="J48" s="168"/>
      <c r="K48" s="188"/>
      <c r="L48" s="188"/>
      <c r="M48" s="188"/>
      <c r="N48" s="188"/>
      <c r="O48" s="188"/>
      <c r="P48" s="188"/>
      <c r="Q48" s="188"/>
      <c r="R48" s="188"/>
      <c r="S48" s="188"/>
      <c r="T48" s="188"/>
      <c r="U48" s="188"/>
      <c r="V48" s="188"/>
      <c r="W48" s="188"/>
      <c r="X48" s="188"/>
      <c r="Y48" s="188"/>
      <c r="Z48" s="188"/>
      <c r="AA48" s="188"/>
      <c r="AB48" s="188"/>
      <c r="AC48" s="188"/>
      <c r="AD48" s="188"/>
      <c r="AE48" s="188"/>
      <c r="AF48" s="188"/>
      <c r="AG48" s="188"/>
      <c r="AH48" s="188"/>
    </row>
    <row r="49" ht="15" customHeight="1">
      <c r="A49" s="10"/>
      <c r="B49" s="11"/>
      <c r="C49" s="11"/>
      <c r="D49" s="11"/>
      <c r="E49" s="11"/>
      <c r="F49" s="11"/>
      <c r="G49" s="80"/>
      <c r="H49" s="168"/>
      <c r="I49" s="168"/>
      <c r="J49" s="168"/>
      <c r="K49" s="188"/>
      <c r="L49" s="188"/>
      <c r="M49" s="188"/>
      <c r="N49" s="188"/>
      <c r="O49" s="188"/>
      <c r="P49" s="188"/>
      <c r="Q49" s="188"/>
      <c r="R49" s="188"/>
      <c r="S49" s="188"/>
      <c r="T49" s="188"/>
      <c r="U49" s="188"/>
      <c r="V49" s="188"/>
      <c r="W49" s="188"/>
      <c r="X49" s="188"/>
      <c r="Y49" s="188"/>
      <c r="Z49" s="188"/>
      <c r="AA49" s="188"/>
      <c r="AB49" s="188"/>
      <c r="AC49" s="188"/>
      <c r="AD49" s="188"/>
      <c r="AE49" s="188"/>
      <c r="AF49" s="188"/>
      <c r="AG49" s="188"/>
      <c r="AH49" s="188"/>
    </row>
    <row r="50" ht="15" customHeight="1">
      <c r="A50" s="10"/>
      <c r="B50" s="11"/>
      <c r="C50" s="11"/>
      <c r="D50" s="11"/>
      <c r="E50" s="11"/>
      <c r="F50" s="11"/>
      <c r="G50" s="80"/>
      <c r="H50" s="168"/>
      <c r="I50" s="168"/>
      <c r="J50" s="168"/>
      <c r="K50" s="188"/>
      <c r="L50" s="188"/>
      <c r="M50" s="188"/>
      <c r="N50" s="188"/>
      <c r="O50" s="188"/>
      <c r="P50" s="188"/>
      <c r="Q50" s="188"/>
      <c r="R50" s="188"/>
      <c r="S50" s="188"/>
      <c r="T50" s="188"/>
      <c r="U50" s="188"/>
      <c r="V50" s="188"/>
      <c r="W50" s="188"/>
      <c r="X50" s="188"/>
      <c r="Y50" s="188"/>
      <c r="Z50" s="188"/>
      <c r="AA50" s="188"/>
      <c r="AB50" s="188"/>
      <c r="AC50" s="188"/>
      <c r="AD50" s="188"/>
      <c r="AE50" s="188"/>
      <c r="AF50" s="188"/>
      <c r="AG50" s="188"/>
      <c r="AH50" s="188"/>
    </row>
    <row r="51" ht="15" customHeight="1">
      <c r="A51" s="10"/>
      <c r="B51" s="11"/>
      <c r="C51" s="11"/>
      <c r="D51" s="11"/>
      <c r="E51" s="11"/>
      <c r="F51" s="11"/>
      <c r="G51" s="80"/>
      <c r="H51" s="168"/>
      <c r="I51" s="168"/>
      <c r="J51" s="168"/>
      <c r="K51" s="188"/>
      <c r="L51" s="188"/>
      <c r="M51" s="188"/>
      <c r="N51" s="188"/>
      <c r="O51" s="188"/>
      <c r="P51" s="188"/>
      <c r="Q51" s="188"/>
      <c r="R51" s="188"/>
      <c r="S51" s="188"/>
      <c r="T51" s="188"/>
      <c r="U51" s="188"/>
      <c r="V51" s="188"/>
      <c r="W51" s="188"/>
      <c r="X51" s="188"/>
      <c r="Y51" s="188"/>
      <c r="Z51" s="188"/>
      <c r="AA51" s="188"/>
      <c r="AB51" s="188"/>
      <c r="AC51" s="188"/>
      <c r="AD51" s="188"/>
      <c r="AE51" s="188"/>
      <c r="AF51" s="188"/>
      <c r="AG51" s="188"/>
      <c r="AH51" s="188"/>
    </row>
    <row r="52" ht="15" customHeight="1" hidden="1">
      <c r="A52" s="10"/>
      <c r="B52" s="11"/>
      <c r="C52" s="11"/>
      <c r="D52" s="11"/>
      <c r="E52" s="11"/>
      <c r="F52" s="11"/>
      <c r="G52" s="80"/>
      <c r="H52" s="168"/>
      <c r="I52" s="168"/>
      <c r="J52" s="168"/>
      <c r="K52" s="188"/>
      <c r="L52" s="188"/>
      <c r="M52" s="188"/>
      <c r="N52" s="188"/>
      <c r="O52" s="188"/>
      <c r="P52" s="188"/>
      <c r="Q52" s="188"/>
      <c r="R52" s="188"/>
      <c r="S52" s="188"/>
      <c r="T52" s="188"/>
      <c r="U52" s="188"/>
      <c r="V52" s="188"/>
      <c r="W52" s="188"/>
      <c r="X52" s="188"/>
      <c r="Y52" s="188"/>
      <c r="Z52" s="188"/>
      <c r="AA52" s="188"/>
      <c r="AB52" s="188"/>
      <c r="AC52" s="188"/>
      <c r="AD52" s="188"/>
      <c r="AE52" s="188"/>
      <c r="AF52" s="188"/>
      <c r="AG52" s="188"/>
      <c r="AH52" s="188"/>
    </row>
    <row r="53" ht="15" customHeight="1" hidden="1">
      <c r="A53" s="10"/>
      <c r="B53" s="11"/>
      <c r="C53" s="11"/>
      <c r="D53" s="11"/>
      <c r="E53" s="11"/>
      <c r="F53" s="11"/>
      <c r="G53" s="80"/>
      <c r="H53" s="168"/>
      <c r="I53" s="168"/>
      <c r="J53" s="168"/>
      <c r="K53" s="188"/>
      <c r="L53" s="188"/>
      <c r="M53" s="188"/>
      <c r="N53" s="188"/>
      <c r="O53" s="188"/>
      <c r="P53" s="188"/>
      <c r="Q53" s="188"/>
      <c r="R53" s="188"/>
      <c r="S53" s="188"/>
      <c r="T53" s="188"/>
      <c r="U53" s="188"/>
      <c r="V53" s="188"/>
      <c r="W53" s="188"/>
      <c r="X53" s="188"/>
      <c r="Y53" s="188"/>
      <c r="Z53" s="188"/>
      <c r="AA53" s="188"/>
      <c r="AB53" s="188"/>
      <c r="AC53" s="188"/>
      <c r="AD53" s="188"/>
      <c r="AE53" s="188"/>
      <c r="AF53" s="188"/>
      <c r="AG53" s="188"/>
      <c r="AH53" s="188"/>
    </row>
    <row r="54" ht="15" customHeight="1" hidden="1">
      <c r="A54" s="10"/>
      <c r="B54" s="11"/>
      <c r="C54" s="11"/>
      <c r="D54" s="11"/>
      <c r="E54" s="11"/>
      <c r="F54" s="11"/>
      <c r="G54" s="80"/>
      <c r="H54" s="168"/>
      <c r="I54" s="168"/>
      <c r="J54" s="168"/>
      <c r="K54" s="188"/>
      <c r="L54" s="188"/>
      <c r="M54" s="188"/>
      <c r="N54" s="188"/>
      <c r="O54" s="188"/>
      <c r="P54" s="188"/>
      <c r="Q54" s="188"/>
      <c r="R54" s="188"/>
      <c r="S54" s="188"/>
      <c r="T54" s="188"/>
      <c r="U54" s="188"/>
      <c r="V54" s="188"/>
      <c r="W54" s="188"/>
      <c r="X54" s="188"/>
      <c r="Y54" s="188"/>
      <c r="Z54" s="188"/>
      <c r="AA54" s="188"/>
      <c r="AB54" s="188"/>
      <c r="AC54" s="188"/>
      <c r="AD54" s="188"/>
      <c r="AE54" s="188"/>
      <c r="AF54" s="188"/>
      <c r="AG54" s="188"/>
      <c r="AH54" s="188"/>
    </row>
    <row r="55" ht="15" customHeight="1" hidden="1">
      <c r="A55" s="10"/>
      <c r="B55" s="11"/>
      <c r="C55" s="11"/>
      <c r="D55" s="11"/>
      <c r="E55" s="11"/>
      <c r="F55" s="11"/>
      <c r="G55" s="80"/>
      <c r="H55" s="168"/>
      <c r="I55" s="168"/>
      <c r="J55" s="168"/>
      <c r="K55" s="188"/>
      <c r="L55" s="188"/>
      <c r="M55" s="188"/>
      <c r="N55" s="188"/>
      <c r="O55" s="188"/>
      <c r="P55" s="188"/>
      <c r="Q55" s="188"/>
      <c r="R55" s="188"/>
      <c r="S55" s="188"/>
      <c r="T55" s="188"/>
      <c r="U55" s="188"/>
      <c r="V55" s="188"/>
      <c r="W55" s="188"/>
      <c r="X55" s="188"/>
      <c r="Y55" s="188"/>
      <c r="Z55" s="188"/>
      <c r="AA55" s="188"/>
      <c r="AB55" s="188"/>
      <c r="AC55" s="188"/>
      <c r="AD55" s="188"/>
      <c r="AE55" s="188"/>
      <c r="AF55" s="188"/>
      <c r="AG55" s="188"/>
      <c r="AH55" s="188"/>
    </row>
    <row r="56" ht="15" customHeight="1" hidden="1">
      <c r="A56" s="10"/>
      <c r="B56" s="11"/>
      <c r="C56" s="11"/>
      <c r="D56" s="11"/>
      <c r="E56" s="11"/>
      <c r="F56" s="11"/>
      <c r="G56" s="80"/>
      <c r="H56" s="168"/>
      <c r="I56" s="168"/>
      <c r="J56" s="168"/>
      <c r="K56" s="188"/>
      <c r="L56" s="188"/>
      <c r="M56" s="188"/>
      <c r="N56" s="188"/>
      <c r="O56" s="188"/>
      <c r="P56" s="188"/>
      <c r="Q56" s="188"/>
      <c r="R56" s="188"/>
      <c r="S56" s="188"/>
      <c r="T56" s="188"/>
      <c r="U56" s="188"/>
      <c r="V56" s="188"/>
      <c r="W56" s="188"/>
      <c r="X56" s="188"/>
      <c r="Y56" s="188"/>
      <c r="Z56" s="188"/>
      <c r="AA56" s="188"/>
      <c r="AB56" s="188"/>
      <c r="AC56" s="188"/>
      <c r="AD56" s="188"/>
      <c r="AE56" s="188"/>
      <c r="AF56" s="188"/>
      <c r="AG56" s="188"/>
      <c r="AH56" s="188"/>
    </row>
    <row r="57" ht="15" customHeight="1" hidden="1">
      <c r="A57" s="10"/>
      <c r="B57" s="11"/>
      <c r="C57" s="11"/>
      <c r="D57" s="11"/>
      <c r="E57" s="11"/>
      <c r="F57" s="11"/>
      <c r="G57" s="80"/>
      <c r="H57" s="168"/>
      <c r="I57" s="168"/>
      <c r="J57" s="168"/>
      <c r="K57" s="188"/>
      <c r="L57" s="188"/>
      <c r="M57" s="188"/>
      <c r="N57" s="188"/>
      <c r="O57" s="188"/>
      <c r="P57" s="188"/>
      <c r="Q57" s="188"/>
      <c r="R57" s="188"/>
      <c r="S57" s="188"/>
      <c r="T57" s="188"/>
      <c r="U57" s="188"/>
      <c r="V57" s="188"/>
      <c r="W57" s="188"/>
      <c r="X57" s="188"/>
      <c r="Y57" s="188"/>
      <c r="Z57" s="188"/>
      <c r="AA57" s="188"/>
      <c r="AB57" s="188"/>
      <c r="AC57" s="188"/>
      <c r="AD57" s="188"/>
      <c r="AE57" s="188"/>
      <c r="AF57" s="188"/>
      <c r="AG57" s="188"/>
      <c r="AH57" s="188"/>
    </row>
    <row r="58" ht="15" customHeight="1" hidden="1">
      <c r="A58" s="10"/>
      <c r="B58" s="11"/>
      <c r="C58" s="11"/>
      <c r="D58" s="11"/>
      <c r="E58" s="11"/>
      <c r="F58" s="11"/>
      <c r="G58" s="80"/>
      <c r="H58" s="168"/>
      <c r="I58" s="168"/>
      <c r="J58" s="168"/>
      <c r="K58" s="188"/>
      <c r="L58" s="188"/>
      <c r="M58" s="188"/>
      <c r="N58" s="188"/>
      <c r="O58" s="188"/>
      <c r="P58" s="188"/>
      <c r="Q58" s="188"/>
      <c r="R58" s="188"/>
      <c r="S58" s="188"/>
      <c r="T58" s="188"/>
      <c r="U58" s="188"/>
      <c r="V58" s="188"/>
      <c r="W58" s="188"/>
      <c r="X58" s="188"/>
      <c r="Y58" s="188"/>
      <c r="Z58" s="188"/>
      <c r="AA58" s="188"/>
      <c r="AB58" s="188"/>
      <c r="AC58" s="188"/>
      <c r="AD58" s="188"/>
      <c r="AE58" s="188"/>
      <c r="AF58" s="188"/>
      <c r="AG58" s="188"/>
      <c r="AH58" s="188"/>
    </row>
    <row r="59" ht="15" customHeight="1" hidden="1">
      <c r="A59" s="10"/>
      <c r="B59" s="11"/>
      <c r="C59" s="11"/>
      <c r="D59" s="11"/>
      <c r="E59" s="11"/>
      <c r="F59" s="11"/>
      <c r="G59" s="80"/>
      <c r="H59" s="168"/>
      <c r="I59" s="168"/>
      <c r="J59" s="168"/>
      <c r="K59" s="188"/>
      <c r="L59" s="188"/>
      <c r="M59" s="188"/>
      <c r="N59" s="188"/>
      <c r="O59" s="188"/>
      <c r="P59" s="188"/>
      <c r="Q59" s="188"/>
      <c r="R59" s="188"/>
      <c r="S59" s="188"/>
      <c r="T59" s="188"/>
      <c r="U59" s="188"/>
      <c r="V59" s="188"/>
      <c r="W59" s="188"/>
      <c r="X59" s="188"/>
      <c r="Y59" s="188"/>
      <c r="Z59" s="188"/>
      <c r="AA59" s="188"/>
      <c r="AB59" s="188"/>
      <c r="AC59" s="188"/>
      <c r="AD59" s="188"/>
      <c r="AE59" s="188"/>
      <c r="AF59" s="188"/>
      <c r="AG59" s="188"/>
      <c r="AH59" s="188"/>
    </row>
    <row r="60" ht="15" customHeight="1" hidden="1">
      <c r="A60" s="10"/>
      <c r="B60" s="11"/>
      <c r="C60" s="11"/>
      <c r="D60" s="11"/>
      <c r="E60" s="11"/>
      <c r="F60" s="11"/>
      <c r="G60" s="80"/>
      <c r="H60" s="168"/>
      <c r="I60" s="168"/>
      <c r="J60" s="168"/>
      <c r="K60" s="188"/>
      <c r="L60" s="188"/>
      <c r="M60" s="188"/>
      <c r="N60" s="188"/>
      <c r="O60" s="188"/>
      <c r="P60" s="188"/>
      <c r="Q60" s="188"/>
      <c r="R60" s="188"/>
      <c r="S60" s="188"/>
      <c r="T60" s="188"/>
      <c r="U60" s="188"/>
      <c r="V60" s="188"/>
      <c r="W60" s="188"/>
      <c r="X60" s="188"/>
      <c r="Y60" s="188"/>
      <c r="Z60" s="188"/>
      <c r="AA60" s="188"/>
      <c r="AB60" s="188"/>
      <c r="AC60" s="188"/>
      <c r="AD60" s="188"/>
      <c r="AE60" s="188"/>
      <c r="AF60" s="188"/>
      <c r="AG60" s="188"/>
      <c r="AH60" s="188"/>
    </row>
    <row r="61" ht="15" customHeight="1" hidden="1">
      <c r="A61" s="10"/>
      <c r="B61" s="11"/>
      <c r="C61" s="11"/>
      <c r="D61" s="11"/>
      <c r="E61" s="11"/>
      <c r="F61" s="11"/>
      <c r="G61" s="80"/>
      <c r="H61" s="168"/>
      <c r="I61" s="168"/>
      <c r="J61" s="168"/>
      <c r="K61" s="188"/>
      <c r="L61" s="188"/>
      <c r="M61" s="188"/>
      <c r="N61" s="188"/>
      <c r="O61" s="188"/>
      <c r="P61" s="188"/>
      <c r="Q61" s="188"/>
      <c r="R61" s="188"/>
      <c r="S61" s="188"/>
      <c r="T61" s="188"/>
      <c r="U61" s="188"/>
      <c r="V61" s="188"/>
      <c r="W61" s="188"/>
      <c r="X61" s="188"/>
      <c r="Y61" s="188"/>
      <c r="Z61" s="188"/>
      <c r="AA61" s="188"/>
      <c r="AB61" s="188"/>
      <c r="AC61" s="188"/>
      <c r="AD61" s="188"/>
      <c r="AE61" s="188"/>
      <c r="AF61" s="188"/>
      <c r="AG61" s="188"/>
      <c r="AH61" s="188"/>
    </row>
    <row r="62" ht="15" customHeight="1" hidden="1">
      <c r="A62" s="10"/>
      <c r="B62" s="11"/>
      <c r="C62" s="11"/>
      <c r="D62" s="11"/>
      <c r="E62" s="11"/>
      <c r="F62" s="11"/>
      <c r="G62" s="80"/>
      <c r="H62" s="168"/>
      <c r="I62" s="168"/>
      <c r="J62" s="168"/>
      <c r="K62" s="188"/>
      <c r="L62" s="188"/>
      <c r="M62" s="188"/>
      <c r="N62" s="188"/>
      <c r="O62" s="188"/>
      <c r="P62" s="188"/>
      <c r="Q62" s="188"/>
      <c r="R62" s="188"/>
      <c r="S62" s="188"/>
      <c r="T62" s="188"/>
      <c r="U62" s="188"/>
      <c r="V62" s="188"/>
      <c r="W62" s="188"/>
      <c r="X62" s="188"/>
      <c r="Y62" s="188"/>
      <c r="Z62" s="188"/>
      <c r="AA62" s="188"/>
      <c r="AB62" s="188"/>
      <c r="AC62" s="188"/>
      <c r="AD62" s="188"/>
      <c r="AE62" s="188"/>
      <c r="AF62" s="188"/>
      <c r="AG62" s="188"/>
      <c r="AH62" s="188"/>
    </row>
    <row r="63" ht="15" customHeight="1" hidden="1">
      <c r="A63" s="10"/>
      <c r="B63" s="11"/>
      <c r="C63" s="11"/>
      <c r="D63" s="11"/>
      <c r="E63" s="11"/>
      <c r="F63" s="11"/>
      <c r="G63" s="80"/>
      <c r="H63" s="168"/>
      <c r="I63" s="168"/>
      <c r="J63" s="168"/>
      <c r="K63" s="188"/>
      <c r="L63" s="188"/>
      <c r="M63" s="188"/>
      <c r="N63" s="188"/>
      <c r="O63" s="188"/>
      <c r="P63" s="188"/>
      <c r="Q63" s="188"/>
      <c r="R63" s="188"/>
      <c r="S63" s="188"/>
      <c r="T63" s="188"/>
      <c r="U63" s="188"/>
      <c r="V63" s="188"/>
      <c r="W63" s="188"/>
      <c r="X63" s="188"/>
      <c r="Y63" s="188"/>
      <c r="Z63" s="188"/>
      <c r="AA63" s="188"/>
      <c r="AB63" s="188"/>
      <c r="AC63" s="188"/>
      <c r="AD63" s="188"/>
      <c r="AE63" s="188"/>
      <c r="AF63" s="188"/>
      <c r="AG63" s="188"/>
      <c r="AH63" s="188"/>
    </row>
    <row r="64" ht="15" customHeight="1" hidden="1">
      <c r="A64" s="10"/>
      <c r="B64" s="11"/>
      <c r="C64" s="11"/>
      <c r="D64" s="11"/>
      <c r="E64" s="11"/>
      <c r="F64" s="11"/>
      <c r="G64" s="80"/>
      <c r="H64" s="168"/>
      <c r="I64" s="168"/>
      <c r="J64" s="168"/>
      <c r="K64" s="188"/>
      <c r="L64" s="188"/>
      <c r="M64" s="188"/>
      <c r="N64" s="188"/>
      <c r="O64" s="188"/>
      <c r="P64" s="188"/>
      <c r="Q64" s="188"/>
      <c r="R64" s="188"/>
      <c r="S64" s="188"/>
      <c r="T64" s="188"/>
      <c r="U64" s="188"/>
      <c r="V64" s="188"/>
      <c r="W64" s="188"/>
      <c r="X64" s="188"/>
      <c r="Y64" s="188"/>
      <c r="Z64" s="188"/>
      <c r="AA64" s="188"/>
      <c r="AB64" s="188"/>
      <c r="AC64" s="188"/>
      <c r="AD64" s="188"/>
      <c r="AE64" s="188"/>
      <c r="AF64" s="188"/>
      <c r="AG64" s="188"/>
      <c r="AH64" s="188"/>
    </row>
    <row r="65" ht="15" customHeight="1" hidden="1">
      <c r="A65" s="10"/>
      <c r="B65" s="11"/>
      <c r="C65" s="11"/>
      <c r="D65" s="11"/>
      <c r="E65" s="11"/>
      <c r="F65" s="11"/>
      <c r="G65" s="80"/>
      <c r="H65" s="168"/>
      <c r="I65" s="168"/>
      <c r="J65" s="168"/>
      <c r="K65" s="188"/>
      <c r="L65" s="188"/>
      <c r="M65" s="188"/>
      <c r="N65" s="188"/>
      <c r="O65" s="188"/>
      <c r="P65" s="188"/>
      <c r="Q65" s="188"/>
      <c r="R65" s="188"/>
      <c r="S65" s="188"/>
      <c r="T65" s="188"/>
      <c r="U65" s="188"/>
      <c r="V65" s="188"/>
      <c r="W65" s="188"/>
      <c r="X65" s="188"/>
      <c r="Y65" s="188"/>
      <c r="Z65" s="188"/>
      <c r="AA65" s="188"/>
      <c r="AB65" s="188"/>
      <c r="AC65" s="188"/>
      <c r="AD65" s="188"/>
      <c r="AE65" s="188"/>
      <c r="AF65" s="188"/>
      <c r="AG65" s="188"/>
      <c r="AH65" s="188"/>
    </row>
    <row r="66" ht="15" customHeight="1" hidden="1">
      <c r="A66" s="10"/>
      <c r="B66" s="11"/>
      <c r="C66" s="11"/>
      <c r="D66" s="11"/>
      <c r="E66" s="11"/>
      <c r="F66" s="11"/>
      <c r="G66" s="80"/>
      <c r="H66" s="168"/>
      <c r="I66" s="168"/>
      <c r="J66" s="168"/>
      <c r="K66" s="188"/>
      <c r="L66" s="188"/>
      <c r="M66" s="188"/>
      <c r="N66" s="188"/>
      <c r="O66" s="188"/>
      <c r="P66" s="188"/>
      <c r="Q66" s="188"/>
      <c r="R66" s="188"/>
      <c r="S66" s="188"/>
      <c r="T66" s="188"/>
      <c r="U66" s="188"/>
      <c r="V66" s="188"/>
      <c r="W66" s="188"/>
      <c r="X66" s="188"/>
      <c r="Y66" s="188"/>
      <c r="Z66" s="188"/>
      <c r="AA66" s="188"/>
      <c r="AB66" s="188"/>
      <c r="AC66" s="188"/>
      <c r="AD66" s="188"/>
      <c r="AE66" s="188"/>
      <c r="AF66" s="188"/>
      <c r="AG66" s="188"/>
      <c r="AH66" s="188"/>
    </row>
    <row r="67" ht="15" customHeight="1" hidden="1">
      <c r="A67" s="10"/>
      <c r="B67" s="11"/>
      <c r="C67" s="11"/>
      <c r="D67" s="11"/>
      <c r="E67" s="11"/>
      <c r="F67" s="11"/>
      <c r="G67" s="80"/>
      <c r="H67" s="168"/>
      <c r="I67" s="168"/>
      <c r="J67" s="168"/>
      <c r="K67" s="188"/>
      <c r="L67" s="188"/>
      <c r="M67" s="188"/>
      <c r="N67" s="188"/>
      <c r="O67" s="188"/>
      <c r="P67" s="188"/>
      <c r="Q67" s="188"/>
      <c r="R67" s="188"/>
      <c r="S67" s="188"/>
      <c r="T67" s="188"/>
      <c r="U67" s="188"/>
      <c r="V67" s="188"/>
      <c r="W67" s="188"/>
      <c r="X67" s="188"/>
      <c r="Y67" s="188"/>
      <c r="Z67" s="188"/>
      <c r="AA67" s="188"/>
      <c r="AB67" s="188"/>
      <c r="AC67" s="188"/>
      <c r="AD67" s="188"/>
      <c r="AE67" s="188"/>
      <c r="AF67" s="188"/>
      <c r="AG67" s="188"/>
      <c r="AH67" s="188"/>
    </row>
    <row r="68" ht="15" customHeight="1" hidden="1">
      <c r="A68" s="10"/>
      <c r="B68" s="11"/>
      <c r="C68" s="11"/>
      <c r="D68" s="11"/>
      <c r="E68" s="11"/>
      <c r="F68" s="11"/>
      <c r="G68" s="80"/>
      <c r="H68" s="168"/>
      <c r="I68" s="168"/>
      <c r="J68" s="168"/>
      <c r="K68" s="188"/>
      <c r="L68" s="188"/>
      <c r="M68" s="188"/>
      <c r="N68" s="188"/>
      <c r="O68" s="188"/>
      <c r="P68" s="188"/>
      <c r="Q68" s="188"/>
      <c r="R68" s="188"/>
      <c r="S68" s="188"/>
      <c r="T68" s="188"/>
      <c r="U68" s="188"/>
      <c r="V68" s="188"/>
      <c r="W68" s="188"/>
      <c r="X68" s="188"/>
      <c r="Y68" s="188"/>
      <c r="Z68" s="188"/>
      <c r="AA68" s="188"/>
      <c r="AB68" s="188"/>
      <c r="AC68" s="188"/>
      <c r="AD68" s="188"/>
      <c r="AE68" s="188"/>
      <c r="AF68" s="188"/>
      <c r="AG68" s="188"/>
      <c r="AH68" s="188"/>
    </row>
    <row r="69" ht="15" customHeight="1" hidden="1">
      <c r="A69" s="10"/>
      <c r="B69" s="11"/>
      <c r="C69" s="11"/>
      <c r="D69" s="11"/>
      <c r="E69" s="11"/>
      <c r="F69" s="11"/>
      <c r="G69" s="80"/>
      <c r="H69" s="168"/>
      <c r="I69" s="168"/>
      <c r="J69" s="168"/>
      <c r="K69" s="188"/>
      <c r="L69" s="188"/>
      <c r="M69" s="188"/>
      <c r="N69" s="188"/>
      <c r="O69" s="188"/>
      <c r="P69" s="188"/>
      <c r="Q69" s="188"/>
      <c r="R69" s="188"/>
      <c r="S69" s="188"/>
      <c r="T69" s="188"/>
      <c r="U69" s="188"/>
      <c r="V69" s="188"/>
      <c r="W69" s="188"/>
      <c r="X69" s="188"/>
      <c r="Y69" s="188"/>
      <c r="Z69" s="188"/>
      <c r="AA69" s="188"/>
      <c r="AB69" s="188"/>
      <c r="AC69" s="188"/>
      <c r="AD69" s="188"/>
      <c r="AE69" s="188"/>
      <c r="AF69" s="188"/>
      <c r="AG69" s="188"/>
      <c r="AH69" s="188"/>
    </row>
    <row r="70" ht="15" customHeight="1" hidden="1">
      <c r="A70" s="10"/>
      <c r="B70" s="11"/>
      <c r="C70" s="11"/>
      <c r="D70" s="11"/>
      <c r="E70" s="11"/>
      <c r="F70" s="11"/>
      <c r="G70" s="80"/>
      <c r="H70" s="168"/>
      <c r="I70" s="168"/>
      <c r="J70" s="168"/>
      <c r="K70" s="188"/>
      <c r="L70" s="188"/>
      <c r="M70" s="188"/>
      <c r="N70" s="188"/>
      <c r="O70" s="188"/>
      <c r="P70" s="188"/>
      <c r="Q70" s="188"/>
      <c r="R70" s="188"/>
      <c r="S70" s="188"/>
      <c r="T70" s="188"/>
      <c r="U70" s="188"/>
      <c r="V70" s="188"/>
      <c r="W70" s="188"/>
      <c r="X70" s="188"/>
      <c r="Y70" s="188"/>
      <c r="Z70" s="188"/>
      <c r="AA70" s="188"/>
      <c r="AB70" s="188"/>
      <c r="AC70" s="188"/>
      <c r="AD70" s="188"/>
      <c r="AE70" s="188"/>
      <c r="AF70" s="188"/>
      <c r="AG70" s="188"/>
      <c r="AH70" s="188"/>
    </row>
    <row r="71" ht="15" customHeight="1" hidden="1">
      <c r="A71" s="10"/>
      <c r="B71" s="11"/>
      <c r="C71" s="11"/>
      <c r="D71" s="11"/>
      <c r="E71" s="11"/>
      <c r="F71" s="11"/>
      <c r="G71" s="80"/>
      <c r="H71" s="168"/>
      <c r="I71" s="168"/>
      <c r="J71" s="168"/>
      <c r="K71" s="188"/>
      <c r="L71" s="188"/>
      <c r="M71" s="188"/>
      <c r="N71" s="188"/>
      <c r="O71" s="188"/>
      <c r="P71" s="188"/>
      <c r="Q71" s="188"/>
      <c r="R71" s="188"/>
      <c r="S71" s="188"/>
      <c r="T71" s="188"/>
      <c r="U71" s="188"/>
      <c r="V71" s="188"/>
      <c r="W71" s="188"/>
      <c r="X71" s="188"/>
      <c r="Y71" s="188"/>
      <c r="Z71" s="188"/>
      <c r="AA71" s="188"/>
      <c r="AB71" s="188"/>
      <c r="AC71" s="188"/>
      <c r="AD71" s="188"/>
      <c r="AE71" s="188"/>
      <c r="AF71" s="188"/>
      <c r="AG71" s="188"/>
      <c r="AH71" s="188"/>
    </row>
    <row r="72" ht="15" customHeight="1" hidden="1">
      <c r="A72" s="10"/>
      <c r="B72" s="11"/>
      <c r="C72" s="11"/>
      <c r="D72" s="11"/>
      <c r="E72" s="11"/>
      <c r="F72" s="11"/>
      <c r="G72" s="80"/>
      <c r="H72" s="168"/>
      <c r="I72" s="168"/>
      <c r="J72" s="168"/>
      <c r="K72" s="188"/>
      <c r="L72" s="188"/>
      <c r="M72" s="188"/>
      <c r="N72" s="188"/>
      <c r="O72" s="188"/>
      <c r="P72" s="188"/>
      <c r="Q72" s="188"/>
      <c r="R72" s="188"/>
      <c r="S72" s="188"/>
      <c r="T72" s="188"/>
      <c r="U72" s="188"/>
      <c r="V72" s="188"/>
      <c r="W72" s="188"/>
      <c r="X72" s="188"/>
      <c r="Y72" s="188"/>
      <c r="Z72" s="188"/>
      <c r="AA72" s="188"/>
      <c r="AB72" s="188"/>
      <c r="AC72" s="188"/>
      <c r="AD72" s="188"/>
      <c r="AE72" s="188"/>
      <c r="AF72" s="188"/>
      <c r="AG72" s="188"/>
      <c r="AH72" s="188"/>
    </row>
    <row r="73" ht="15" customHeight="1" hidden="1">
      <c r="A73" s="10"/>
      <c r="B73" s="11"/>
      <c r="C73" s="11"/>
      <c r="D73" s="11"/>
      <c r="E73" s="11"/>
      <c r="F73" s="11"/>
      <c r="G73" s="80"/>
      <c r="H73" s="168"/>
      <c r="I73" s="168"/>
      <c r="J73" s="168"/>
      <c r="K73" s="188"/>
      <c r="L73" s="188"/>
      <c r="M73" s="188"/>
      <c r="N73" s="188"/>
      <c r="O73" s="188"/>
      <c r="P73" s="188"/>
      <c r="Q73" s="188"/>
      <c r="R73" s="188"/>
      <c r="S73" s="188"/>
      <c r="T73" s="188"/>
      <c r="U73" s="188"/>
      <c r="V73" s="188"/>
      <c r="W73" s="188"/>
      <c r="X73" s="188"/>
      <c r="Y73" s="188"/>
      <c r="Z73" s="188"/>
      <c r="AA73" s="188"/>
      <c r="AB73" s="188"/>
      <c r="AC73" s="188"/>
      <c r="AD73" s="188"/>
      <c r="AE73" s="188"/>
      <c r="AF73" s="188"/>
      <c r="AG73" s="188"/>
      <c r="AH73" s="188"/>
    </row>
    <row r="74" ht="15" customHeight="1" hidden="1">
      <c r="A74" s="10"/>
      <c r="B74" s="192"/>
      <c r="C74" s="192"/>
      <c r="D74" s="192"/>
      <c r="E74" s="192"/>
      <c r="F74" s="192"/>
      <c r="G74" s="193"/>
      <c r="H74" s="188"/>
      <c r="I74" s="188"/>
      <c r="J74" s="188"/>
      <c r="K74" s="188"/>
      <c r="L74" s="188"/>
      <c r="M74" s="188"/>
      <c r="N74" s="188"/>
      <c r="O74" s="188"/>
      <c r="P74" s="188"/>
      <c r="Q74" s="188"/>
      <c r="R74" s="188"/>
      <c r="S74" s="188"/>
      <c r="T74" s="188"/>
      <c r="U74" s="188"/>
      <c r="V74" s="188"/>
      <c r="W74" s="188"/>
      <c r="X74" s="188"/>
      <c r="Y74" s="188"/>
      <c r="Z74" s="188"/>
      <c r="AA74" s="188"/>
      <c r="AB74" s="188"/>
      <c r="AC74" s="188"/>
      <c r="AD74" s="188"/>
      <c r="AE74" s="188"/>
      <c r="AF74" s="188"/>
      <c r="AG74" s="188"/>
      <c r="AH74" s="188"/>
    </row>
    <row r="75" ht="15" customHeight="1" hidden="1">
      <c r="A75" s="10"/>
      <c r="B75" s="192"/>
      <c r="C75" s="192"/>
      <c r="D75" s="192"/>
      <c r="E75" s="192"/>
      <c r="F75" s="192"/>
      <c r="G75" s="193"/>
      <c r="H75" s="188"/>
      <c r="I75" s="188"/>
      <c r="J75" s="188"/>
      <c r="K75" s="188"/>
      <c r="L75" s="188"/>
      <c r="M75" s="188"/>
      <c r="N75" s="188"/>
      <c r="O75" s="188"/>
      <c r="P75" s="188"/>
      <c r="Q75" s="188"/>
      <c r="R75" s="188"/>
      <c r="S75" s="188"/>
      <c r="T75" s="188"/>
      <c r="U75" s="188"/>
      <c r="V75" s="188"/>
      <c r="W75" s="188"/>
      <c r="X75" s="188"/>
      <c r="Y75" s="188"/>
      <c r="Z75" s="188"/>
      <c r="AA75" s="188"/>
      <c r="AB75" s="188"/>
      <c r="AC75" s="188"/>
      <c r="AD75" s="188"/>
      <c r="AE75" s="188"/>
      <c r="AF75" s="188"/>
      <c r="AG75" s="188"/>
      <c r="AH75" s="188"/>
    </row>
    <row r="76" ht="15" customHeight="1" hidden="1">
      <c r="A76" s="10"/>
      <c r="B76" s="192"/>
      <c r="C76" s="192"/>
      <c r="D76" s="192"/>
      <c r="E76" s="192"/>
      <c r="F76" s="192"/>
      <c r="G76" s="193"/>
      <c r="H76" s="188"/>
      <c r="I76" s="188"/>
      <c r="J76" s="188"/>
      <c r="K76" s="188"/>
      <c r="L76" s="188"/>
      <c r="M76" s="188"/>
      <c r="N76" s="188"/>
      <c r="O76" s="188"/>
      <c r="P76" s="188"/>
      <c r="Q76" s="188"/>
      <c r="R76" s="188"/>
      <c r="S76" s="188"/>
      <c r="T76" s="188"/>
      <c r="U76" s="188"/>
      <c r="V76" s="188"/>
      <c r="W76" s="188"/>
      <c r="X76" s="188"/>
      <c r="Y76" s="188"/>
      <c r="Z76" s="188"/>
      <c r="AA76" s="188"/>
      <c r="AB76" s="188"/>
      <c r="AC76" s="188"/>
      <c r="AD76" s="188"/>
      <c r="AE76" s="188"/>
      <c r="AF76" s="188"/>
      <c r="AG76" s="188"/>
      <c r="AH76" s="188"/>
    </row>
    <row r="77" ht="15" customHeight="1" hidden="1">
      <c r="A77" s="10"/>
      <c r="B77" s="192"/>
      <c r="C77" s="192"/>
      <c r="D77" s="192"/>
      <c r="E77" s="192"/>
      <c r="F77" s="192"/>
      <c r="G77" s="193"/>
      <c r="H77" s="188"/>
      <c r="I77" s="188"/>
      <c r="J77" s="188"/>
      <c r="K77" s="188"/>
      <c r="L77" s="188"/>
      <c r="M77" s="188"/>
      <c r="N77" s="188"/>
      <c r="O77" s="188"/>
      <c r="P77" s="188"/>
      <c r="Q77" s="188"/>
      <c r="R77" s="188"/>
      <c r="S77" s="188"/>
      <c r="T77" s="188"/>
      <c r="U77" s="188"/>
      <c r="V77" s="188"/>
      <c r="W77" s="188"/>
      <c r="X77" s="188"/>
      <c r="Y77" s="188"/>
      <c r="Z77" s="188"/>
      <c r="AA77" s="188"/>
      <c r="AB77" s="188"/>
      <c r="AC77" s="188"/>
      <c r="AD77" s="188"/>
      <c r="AE77" s="188"/>
      <c r="AF77" s="188"/>
      <c r="AG77" s="188"/>
      <c r="AH77" s="188"/>
    </row>
    <row r="78" ht="15" customHeight="1" hidden="1">
      <c r="A78" s="10"/>
      <c r="B78" s="192"/>
      <c r="C78" s="192"/>
      <c r="D78" s="192"/>
      <c r="E78" s="192"/>
      <c r="F78" s="192"/>
      <c r="G78" s="193"/>
      <c r="H78" s="188"/>
      <c r="I78" s="188"/>
      <c r="J78" s="188"/>
      <c r="K78" s="188"/>
      <c r="L78" s="188"/>
      <c r="M78" s="188"/>
      <c r="N78" s="188"/>
      <c r="O78" s="188"/>
      <c r="P78" s="188"/>
      <c r="Q78" s="188"/>
      <c r="R78" s="188"/>
      <c r="S78" s="188"/>
      <c r="T78" s="188"/>
      <c r="U78" s="188"/>
      <c r="V78" s="188"/>
      <c r="W78" s="188"/>
      <c r="X78" s="188"/>
      <c r="Y78" s="188"/>
      <c r="Z78" s="188"/>
      <c r="AA78" s="188"/>
      <c r="AB78" s="188"/>
      <c r="AC78" s="188"/>
      <c r="AD78" s="188"/>
      <c r="AE78" s="188"/>
      <c r="AF78" s="188"/>
      <c r="AG78" s="188"/>
      <c r="AH78" s="188"/>
    </row>
    <row r="79" ht="15" customHeight="1" hidden="1">
      <c r="A79" s="10"/>
      <c r="B79" s="192"/>
      <c r="C79" s="192"/>
      <c r="D79" s="192"/>
      <c r="E79" s="192"/>
      <c r="F79" s="192"/>
      <c r="G79" s="193"/>
      <c r="H79" s="188"/>
      <c r="I79" s="188"/>
      <c r="J79" s="188"/>
      <c r="K79" s="188"/>
      <c r="L79" s="188"/>
      <c r="M79" s="188"/>
      <c r="N79" s="188"/>
      <c r="O79" s="188"/>
      <c r="P79" s="188"/>
      <c r="Q79" s="188"/>
      <c r="R79" s="188"/>
      <c r="S79" s="188"/>
      <c r="T79" s="188"/>
      <c r="U79" s="188"/>
      <c r="V79" s="188"/>
      <c r="W79" s="188"/>
      <c r="X79" s="188"/>
      <c r="Y79" s="188"/>
      <c r="Z79" s="188"/>
      <c r="AA79" s="188"/>
      <c r="AB79" s="188"/>
      <c r="AC79" s="188"/>
      <c r="AD79" s="188"/>
      <c r="AE79" s="188"/>
      <c r="AF79" s="188"/>
      <c r="AG79" s="188"/>
      <c r="AH79" s="188"/>
    </row>
    <row r="80" ht="15" customHeight="1" hidden="1">
      <c r="A80" s="10"/>
      <c r="B80" s="192"/>
      <c r="C80" s="192"/>
      <c r="D80" s="192"/>
      <c r="E80" s="192"/>
      <c r="F80" s="192"/>
      <c r="G80" s="193"/>
      <c r="H80" s="188"/>
      <c r="I80" s="188"/>
      <c r="J80" s="188"/>
      <c r="K80" s="188"/>
      <c r="L80" s="188"/>
      <c r="M80" s="188"/>
      <c r="N80" s="188"/>
      <c r="O80" s="188"/>
      <c r="P80" s="188"/>
      <c r="Q80" s="188"/>
      <c r="R80" s="188"/>
      <c r="S80" s="188"/>
      <c r="T80" s="188"/>
      <c r="U80" s="188"/>
      <c r="V80" s="188"/>
      <c r="W80" s="188"/>
      <c r="X80" s="188"/>
      <c r="Y80" s="188"/>
      <c r="Z80" s="188"/>
      <c r="AA80" s="188"/>
      <c r="AB80" s="188"/>
      <c r="AC80" s="188"/>
      <c r="AD80" s="188"/>
      <c r="AE80" s="188"/>
      <c r="AF80" s="188"/>
      <c r="AG80" s="188"/>
      <c r="AH80" s="188"/>
    </row>
    <row r="81" ht="15" customHeight="1" hidden="1">
      <c r="A81" s="10"/>
      <c r="B81" s="192"/>
      <c r="C81" s="192"/>
      <c r="D81" s="192"/>
      <c r="E81" s="192"/>
      <c r="F81" s="192"/>
      <c r="G81" s="193"/>
      <c r="H81" s="188"/>
      <c r="I81" s="188"/>
      <c r="J81" s="188"/>
      <c r="K81" s="188"/>
      <c r="L81" s="188"/>
      <c r="M81" s="188"/>
      <c r="N81" s="188"/>
      <c r="O81" s="188"/>
      <c r="P81" s="188"/>
      <c r="Q81" s="188"/>
      <c r="R81" s="188"/>
      <c r="S81" s="188"/>
      <c r="T81" s="188"/>
      <c r="U81" s="188"/>
      <c r="V81" s="188"/>
      <c r="W81" s="188"/>
      <c r="X81" s="188"/>
      <c r="Y81" s="188"/>
      <c r="Z81" s="188"/>
      <c r="AA81" s="188"/>
      <c r="AB81" s="188"/>
      <c r="AC81" s="188"/>
      <c r="AD81" s="188"/>
      <c r="AE81" s="188"/>
      <c r="AF81" s="188"/>
      <c r="AG81" s="188"/>
      <c r="AH81" s="188"/>
    </row>
    <row r="82" ht="15" customHeight="1" hidden="1">
      <c r="A82" s="194"/>
      <c r="B82" s="192"/>
      <c r="C82" s="192"/>
      <c r="D82" s="192"/>
      <c r="E82" s="192"/>
      <c r="F82" s="192"/>
      <c r="G82" s="193"/>
      <c r="H82" s="188"/>
      <c r="I82" s="188"/>
      <c r="J82" s="188"/>
      <c r="K82" s="188"/>
      <c r="L82" s="188"/>
      <c r="M82" s="188"/>
      <c r="N82" s="188"/>
      <c r="O82" s="188"/>
      <c r="P82" s="188"/>
      <c r="Q82" s="188"/>
      <c r="R82" s="188"/>
      <c r="S82" s="188"/>
      <c r="T82" s="188"/>
      <c r="U82" s="188"/>
      <c r="V82" s="188"/>
      <c r="W82" s="188"/>
      <c r="X82" s="188"/>
      <c r="Y82" s="188"/>
      <c r="Z82" s="188"/>
      <c r="AA82" s="188"/>
      <c r="AB82" s="188"/>
      <c r="AC82" s="188"/>
      <c r="AD82" s="188"/>
      <c r="AE82" s="188"/>
      <c r="AF82" s="188"/>
      <c r="AG82" s="188"/>
      <c r="AH82" s="188"/>
    </row>
    <row r="83" ht="15" customHeight="1" hidden="1">
      <c r="A83" s="194"/>
      <c r="B83" s="192"/>
      <c r="C83" s="192"/>
      <c r="D83" s="192"/>
      <c r="E83" s="192"/>
      <c r="F83" s="192"/>
      <c r="G83" s="193"/>
      <c r="H83" s="188"/>
      <c r="I83" s="188"/>
      <c r="J83" s="188"/>
      <c r="K83" s="188"/>
      <c r="L83" s="188"/>
      <c r="M83" s="188"/>
      <c r="N83" s="188"/>
      <c r="O83" s="188"/>
      <c r="P83" s="188"/>
      <c r="Q83" s="188"/>
      <c r="R83" s="188"/>
      <c r="S83" s="188"/>
      <c r="T83" s="188"/>
      <c r="U83" s="188"/>
      <c r="V83" s="188"/>
      <c r="W83" s="188"/>
      <c r="X83" s="188"/>
      <c r="Y83" s="188"/>
      <c r="Z83" s="188"/>
      <c r="AA83" s="188"/>
      <c r="AB83" s="188"/>
      <c r="AC83" s="188"/>
      <c r="AD83" s="188"/>
      <c r="AE83" s="188"/>
      <c r="AF83" s="188"/>
      <c r="AG83" s="188"/>
      <c r="AH83" s="188"/>
    </row>
    <row r="84" ht="15" customHeight="1" hidden="1">
      <c r="A84" s="194"/>
      <c r="B84" s="192"/>
      <c r="C84" s="192"/>
      <c r="D84" s="192"/>
      <c r="E84" s="192"/>
      <c r="F84" s="192"/>
      <c r="G84" s="193"/>
      <c r="H84" s="188"/>
      <c r="I84" s="188"/>
      <c r="J84" s="188"/>
      <c r="K84" s="188"/>
      <c r="L84" s="188"/>
      <c r="M84" s="188"/>
      <c r="N84" s="188"/>
      <c r="O84" s="188"/>
      <c r="P84" s="188"/>
      <c r="Q84" s="188"/>
      <c r="R84" s="188"/>
      <c r="S84" s="188"/>
      <c r="T84" s="188"/>
      <c r="U84" s="188"/>
      <c r="V84" s="188"/>
      <c r="W84" s="188"/>
      <c r="X84" s="188"/>
      <c r="Y84" s="188"/>
      <c r="Z84" s="188"/>
      <c r="AA84" s="188"/>
      <c r="AB84" s="188"/>
      <c r="AC84" s="188"/>
      <c r="AD84" s="188"/>
      <c r="AE84" s="188"/>
      <c r="AF84" s="188"/>
      <c r="AG84" s="188"/>
      <c r="AH84" s="188"/>
    </row>
    <row r="85" ht="15" customHeight="1" hidden="1">
      <c r="A85" s="194"/>
      <c r="B85" s="192"/>
      <c r="C85" s="192"/>
      <c r="D85" s="192"/>
      <c r="E85" s="192"/>
      <c r="F85" s="192"/>
      <c r="G85" s="193"/>
      <c r="H85" s="188"/>
      <c r="I85" s="188"/>
      <c r="J85" s="188"/>
      <c r="K85" s="188"/>
      <c r="L85" s="188"/>
      <c r="M85" s="188"/>
      <c r="N85" s="188"/>
      <c r="O85" s="188"/>
      <c r="P85" s="188"/>
      <c r="Q85" s="188"/>
      <c r="R85" s="188"/>
      <c r="S85" s="188"/>
      <c r="T85" s="188"/>
      <c r="U85" s="188"/>
      <c r="V85" s="188"/>
      <c r="W85" s="188"/>
      <c r="X85" s="188"/>
      <c r="Y85" s="188"/>
      <c r="Z85" s="188"/>
      <c r="AA85" s="188"/>
      <c r="AB85" s="188"/>
      <c r="AC85" s="188"/>
      <c r="AD85" s="188"/>
      <c r="AE85" s="188"/>
      <c r="AF85" s="188"/>
      <c r="AG85" s="188"/>
      <c r="AH85" s="188"/>
    </row>
    <row r="86" ht="15" customHeight="1" hidden="1">
      <c r="A86" s="194"/>
      <c r="B86" s="192"/>
      <c r="C86" s="192"/>
      <c r="D86" s="192"/>
      <c r="E86" s="192"/>
      <c r="F86" s="192"/>
      <c r="G86" s="193"/>
      <c r="H86" s="188"/>
      <c r="I86" s="188"/>
      <c r="J86" s="188"/>
      <c r="K86" s="188"/>
      <c r="L86" s="188"/>
      <c r="M86" s="188"/>
      <c r="N86" s="188"/>
      <c r="O86" s="188"/>
      <c r="P86" s="188"/>
      <c r="Q86" s="188"/>
      <c r="R86" s="188"/>
      <c r="S86" s="188"/>
      <c r="T86" s="188"/>
      <c r="U86" s="188"/>
      <c r="V86" s="188"/>
      <c r="W86" s="188"/>
      <c r="X86" s="188"/>
      <c r="Y86" s="188"/>
      <c r="Z86" s="188"/>
      <c r="AA86" s="188"/>
      <c r="AB86" s="188"/>
      <c r="AC86" s="188"/>
      <c r="AD86" s="188"/>
      <c r="AE86" s="188"/>
      <c r="AF86" s="188"/>
      <c r="AG86" s="188"/>
      <c r="AH86" s="188"/>
    </row>
    <row r="87" ht="15" customHeight="1" hidden="1">
      <c r="A87" s="194"/>
      <c r="B87" s="192"/>
      <c r="C87" s="192"/>
      <c r="D87" s="192"/>
      <c r="E87" s="192"/>
      <c r="F87" s="192"/>
      <c r="G87" s="193"/>
      <c r="H87" s="188"/>
      <c r="I87" s="188"/>
      <c r="J87" s="188"/>
      <c r="K87" s="188"/>
      <c r="L87" s="188"/>
      <c r="M87" s="188"/>
      <c r="N87" s="188"/>
      <c r="O87" s="188"/>
      <c r="P87" s="188"/>
      <c r="Q87" s="188"/>
      <c r="R87" s="188"/>
      <c r="S87" s="188"/>
      <c r="T87" s="188"/>
      <c r="U87" s="188"/>
      <c r="V87" s="188"/>
      <c r="W87" s="188"/>
      <c r="X87" s="188"/>
      <c r="Y87" s="188"/>
      <c r="Z87" s="188"/>
      <c r="AA87" s="188"/>
      <c r="AB87" s="188"/>
      <c r="AC87" s="188"/>
      <c r="AD87" s="188"/>
      <c r="AE87" s="188"/>
      <c r="AF87" s="188"/>
      <c r="AG87" s="188"/>
      <c r="AH87" s="188"/>
    </row>
    <row r="88" ht="15" customHeight="1" hidden="1">
      <c r="A88" s="194"/>
      <c r="B88" s="192"/>
      <c r="C88" s="192"/>
      <c r="D88" s="192"/>
      <c r="E88" s="192"/>
      <c r="F88" s="192"/>
      <c r="G88" s="193"/>
      <c r="H88" s="188"/>
      <c r="I88" s="188"/>
      <c r="J88" s="188"/>
      <c r="K88" s="188"/>
      <c r="L88" s="188"/>
      <c r="M88" s="188"/>
      <c r="N88" s="188"/>
      <c r="O88" s="188"/>
      <c r="P88" s="188"/>
      <c r="Q88" s="188"/>
      <c r="R88" s="188"/>
      <c r="S88" s="188"/>
      <c r="T88" s="188"/>
      <c r="U88" s="188"/>
      <c r="V88" s="188"/>
      <c r="W88" s="188"/>
      <c r="X88" s="188"/>
      <c r="Y88" s="188"/>
      <c r="Z88" s="188"/>
      <c r="AA88" s="188"/>
      <c r="AB88" s="188"/>
      <c r="AC88" s="188"/>
      <c r="AD88" s="188"/>
      <c r="AE88" s="188"/>
      <c r="AF88" s="188"/>
      <c r="AG88" s="188"/>
      <c r="AH88" s="188"/>
    </row>
    <row r="89" ht="15" customHeight="1" hidden="1">
      <c r="A89" s="194"/>
      <c r="B89" s="192"/>
      <c r="C89" s="192"/>
      <c r="D89" s="192"/>
      <c r="E89" s="192"/>
      <c r="F89" s="192"/>
      <c r="G89" s="193"/>
      <c r="H89" s="188"/>
      <c r="I89" s="188"/>
      <c r="J89" s="188"/>
      <c r="K89" s="188"/>
      <c r="L89" s="188"/>
      <c r="M89" s="188"/>
      <c r="N89" s="188"/>
      <c r="O89" s="188"/>
      <c r="P89" s="188"/>
      <c r="Q89" s="188"/>
      <c r="R89" s="188"/>
      <c r="S89" s="188"/>
      <c r="T89" s="188"/>
      <c r="U89" s="188"/>
      <c r="V89" s="188"/>
      <c r="W89" s="188"/>
      <c r="X89" s="188"/>
      <c r="Y89" s="188"/>
      <c r="Z89" s="188"/>
      <c r="AA89" s="188"/>
      <c r="AB89" s="188"/>
      <c r="AC89" s="188"/>
      <c r="AD89" s="188"/>
      <c r="AE89" s="188"/>
      <c r="AF89" s="188"/>
      <c r="AG89" s="188"/>
      <c r="AH89" s="188"/>
    </row>
    <row r="90" ht="15" customHeight="1" hidden="1">
      <c r="A90" s="194"/>
      <c r="B90" s="192"/>
      <c r="C90" s="192"/>
      <c r="D90" s="192"/>
      <c r="E90" s="192"/>
      <c r="F90" s="192"/>
      <c r="G90" s="193"/>
      <c r="H90" s="188"/>
      <c r="I90" s="188"/>
      <c r="J90" s="188"/>
      <c r="K90" s="188"/>
      <c r="L90" s="188"/>
      <c r="M90" s="188"/>
      <c r="N90" s="188"/>
      <c r="O90" s="188"/>
      <c r="P90" s="188"/>
      <c r="Q90" s="188"/>
      <c r="R90" s="188"/>
      <c r="S90" s="188"/>
      <c r="T90" s="188"/>
      <c r="U90" s="188"/>
      <c r="V90" s="188"/>
      <c r="W90" s="188"/>
      <c r="X90" s="188"/>
      <c r="Y90" s="188"/>
      <c r="Z90" s="188"/>
      <c r="AA90" s="188"/>
      <c r="AB90" s="188"/>
      <c r="AC90" s="188"/>
      <c r="AD90" s="188"/>
      <c r="AE90" s="188"/>
      <c r="AF90" s="188"/>
      <c r="AG90" s="188"/>
      <c r="AH90" s="188"/>
    </row>
    <row r="91" ht="15" customHeight="1" hidden="1">
      <c r="A91" s="194"/>
      <c r="B91" s="192"/>
      <c r="C91" s="192"/>
      <c r="D91" s="192"/>
      <c r="E91" s="192"/>
      <c r="F91" s="192"/>
      <c r="G91" s="193"/>
      <c r="H91" s="188"/>
      <c r="I91" s="188"/>
      <c r="J91" s="188"/>
      <c r="K91" s="188"/>
      <c r="L91" s="188"/>
      <c r="M91" s="188"/>
      <c r="N91" s="188"/>
      <c r="O91" s="188"/>
      <c r="P91" s="188"/>
      <c r="Q91" s="188"/>
      <c r="R91" s="188"/>
      <c r="S91" s="188"/>
      <c r="T91" s="188"/>
      <c r="U91" s="188"/>
      <c r="V91" s="188"/>
      <c r="W91" s="188"/>
      <c r="X91" s="188"/>
      <c r="Y91" s="188"/>
      <c r="Z91" s="188"/>
      <c r="AA91" s="188"/>
      <c r="AB91" s="188"/>
      <c r="AC91" s="188"/>
      <c r="AD91" s="188"/>
      <c r="AE91" s="188"/>
      <c r="AF91" s="188"/>
      <c r="AG91" s="188"/>
      <c r="AH91" s="188"/>
    </row>
    <row r="92" ht="15" customHeight="1" hidden="1">
      <c r="A92" s="194"/>
      <c r="B92" s="192"/>
      <c r="C92" s="192"/>
      <c r="D92" s="192"/>
      <c r="E92" s="192"/>
      <c r="F92" s="192"/>
      <c r="G92" s="193"/>
      <c r="H92" s="188"/>
      <c r="I92" s="188"/>
      <c r="J92" s="188"/>
      <c r="K92" s="188"/>
      <c r="L92" s="188"/>
      <c r="M92" s="188"/>
      <c r="N92" s="188"/>
      <c r="O92" s="188"/>
      <c r="P92" s="188"/>
      <c r="Q92" s="188"/>
      <c r="R92" s="188"/>
      <c r="S92" s="188"/>
      <c r="T92" s="188"/>
      <c r="U92" s="188"/>
      <c r="V92" s="188"/>
      <c r="W92" s="188"/>
      <c r="X92" s="188"/>
      <c r="Y92" s="188"/>
      <c r="Z92" s="188"/>
      <c r="AA92" s="188"/>
      <c r="AB92" s="188"/>
      <c r="AC92" s="188"/>
      <c r="AD92" s="188"/>
      <c r="AE92" s="188"/>
      <c r="AF92" s="188"/>
      <c r="AG92" s="188"/>
      <c r="AH92" s="188"/>
    </row>
    <row r="93" ht="15" customHeight="1" hidden="1">
      <c r="A93" s="194"/>
      <c r="B93" s="192"/>
      <c r="C93" s="192"/>
      <c r="D93" s="192"/>
      <c r="E93" s="192"/>
      <c r="F93" s="192"/>
      <c r="G93" s="193"/>
      <c r="H93" s="188"/>
      <c r="I93" s="188"/>
      <c r="J93" s="188"/>
      <c r="K93" s="188"/>
      <c r="L93" s="188"/>
      <c r="M93" s="188"/>
      <c r="N93" s="188"/>
      <c r="O93" s="188"/>
      <c r="P93" s="188"/>
      <c r="Q93" s="188"/>
      <c r="R93" s="188"/>
      <c r="S93" s="188"/>
      <c r="T93" s="188"/>
      <c r="U93" s="188"/>
      <c r="V93" s="188"/>
      <c r="W93" s="188"/>
      <c r="X93" s="188"/>
      <c r="Y93" s="188"/>
      <c r="Z93" s="188"/>
      <c r="AA93" s="188"/>
      <c r="AB93" s="188"/>
      <c r="AC93" s="188"/>
      <c r="AD93" s="188"/>
      <c r="AE93" s="188"/>
      <c r="AF93" s="188"/>
      <c r="AG93" s="188"/>
      <c r="AH93" s="188"/>
    </row>
    <row r="94" ht="15" customHeight="1" hidden="1">
      <c r="A94" s="194"/>
      <c r="B94" s="192"/>
      <c r="C94" s="192"/>
      <c r="D94" s="192"/>
      <c r="E94" s="192"/>
      <c r="F94" s="192"/>
      <c r="G94" s="193"/>
      <c r="H94" s="188"/>
      <c r="I94" s="188"/>
      <c r="J94" s="188"/>
      <c r="K94" s="188"/>
      <c r="L94" s="188"/>
      <c r="M94" s="188"/>
      <c r="N94" s="188"/>
      <c r="O94" s="188"/>
      <c r="P94" s="188"/>
      <c r="Q94" s="188"/>
      <c r="R94" s="188"/>
      <c r="S94" s="188"/>
      <c r="T94" s="188"/>
      <c r="U94" s="188"/>
      <c r="V94" s="188"/>
      <c r="W94" s="188"/>
      <c r="X94" s="188"/>
      <c r="Y94" s="188"/>
      <c r="Z94" s="188"/>
      <c r="AA94" s="188"/>
      <c r="AB94" s="188"/>
      <c r="AC94" s="188"/>
      <c r="AD94" s="188"/>
      <c r="AE94" s="188"/>
      <c r="AF94" s="188"/>
      <c r="AG94" s="188"/>
      <c r="AH94" s="188"/>
    </row>
    <row r="95" ht="15" customHeight="1" hidden="1">
      <c r="A95" s="194"/>
      <c r="B95" s="192"/>
      <c r="C95" s="192"/>
      <c r="D95" s="192"/>
      <c r="E95" s="192"/>
      <c r="F95" s="192"/>
      <c r="G95" s="193"/>
      <c r="H95" s="188"/>
      <c r="I95" s="188"/>
      <c r="J95" s="188"/>
      <c r="K95" s="188"/>
      <c r="L95" s="188"/>
      <c r="M95" s="188"/>
      <c r="N95" s="188"/>
      <c r="O95" s="188"/>
      <c r="P95" s="188"/>
      <c r="Q95" s="188"/>
      <c r="R95" s="188"/>
      <c r="S95" s="188"/>
      <c r="T95" s="188"/>
      <c r="U95" s="188"/>
      <c r="V95" s="188"/>
      <c r="W95" s="188"/>
      <c r="X95" s="188"/>
      <c r="Y95" s="188"/>
      <c r="Z95" s="188"/>
      <c r="AA95" s="188"/>
      <c r="AB95" s="188"/>
      <c r="AC95" s="188"/>
      <c r="AD95" s="188"/>
      <c r="AE95" s="188"/>
      <c r="AF95" s="188"/>
      <c r="AG95" s="188"/>
      <c r="AH95" s="188"/>
    </row>
    <row r="96" ht="15" customHeight="1" hidden="1">
      <c r="A96" s="194"/>
      <c r="B96" s="192"/>
      <c r="C96" s="192"/>
      <c r="D96" s="192"/>
      <c r="E96" s="192"/>
      <c r="F96" s="192"/>
      <c r="G96" s="193"/>
      <c r="H96" s="188"/>
      <c r="I96" s="188"/>
      <c r="J96" s="188"/>
      <c r="K96" s="188"/>
      <c r="L96" s="188"/>
      <c r="M96" s="188"/>
      <c r="N96" s="188"/>
      <c r="O96" s="188"/>
      <c r="P96" s="188"/>
      <c r="Q96" s="188"/>
      <c r="R96" s="188"/>
      <c r="S96" s="188"/>
      <c r="T96" s="188"/>
      <c r="U96" s="188"/>
      <c r="V96" s="188"/>
      <c r="W96" s="188"/>
      <c r="X96" s="188"/>
      <c r="Y96" s="188"/>
      <c r="Z96" s="188"/>
      <c r="AA96" s="188"/>
      <c r="AB96" s="188"/>
      <c r="AC96" s="188"/>
      <c r="AD96" s="188"/>
      <c r="AE96" s="188"/>
      <c r="AF96" s="188"/>
      <c r="AG96" s="188"/>
      <c r="AH96" s="188"/>
    </row>
    <row r="97" ht="15" customHeight="1" hidden="1">
      <c r="A97" s="194"/>
      <c r="B97" s="192"/>
      <c r="C97" s="192"/>
      <c r="D97" s="192"/>
      <c r="E97" s="192"/>
      <c r="F97" s="192"/>
      <c r="G97" s="193"/>
      <c r="H97" s="188"/>
      <c r="I97" s="188"/>
      <c r="J97" s="188"/>
      <c r="K97" s="188"/>
      <c r="L97" s="188"/>
      <c r="M97" s="188"/>
      <c r="N97" s="188"/>
      <c r="O97" s="188"/>
      <c r="P97" s="188"/>
      <c r="Q97" s="188"/>
      <c r="R97" s="188"/>
      <c r="S97" s="188"/>
      <c r="T97" s="188"/>
      <c r="U97" s="188"/>
      <c r="V97" s="188"/>
      <c r="W97" s="188"/>
      <c r="X97" s="188"/>
      <c r="Y97" s="188"/>
      <c r="Z97" s="188"/>
      <c r="AA97" s="188"/>
      <c r="AB97" s="188"/>
      <c r="AC97" s="188"/>
      <c r="AD97" s="188"/>
      <c r="AE97" s="188"/>
      <c r="AF97" s="188"/>
      <c r="AG97" s="188"/>
      <c r="AH97" s="188"/>
    </row>
    <row r="98" ht="15" customHeight="1" hidden="1">
      <c r="A98" s="194"/>
      <c r="B98" s="192"/>
      <c r="C98" s="192"/>
      <c r="D98" s="192"/>
      <c r="E98" s="192"/>
      <c r="F98" s="192"/>
      <c r="G98" s="193"/>
      <c r="H98" s="188"/>
      <c r="I98" s="188"/>
      <c r="J98" s="188"/>
      <c r="K98" s="188"/>
      <c r="L98" s="188"/>
      <c r="M98" s="188"/>
      <c r="N98" s="188"/>
      <c r="O98" s="188"/>
      <c r="P98" s="188"/>
      <c r="Q98" s="188"/>
      <c r="R98" s="188"/>
      <c r="S98" s="188"/>
      <c r="T98" s="188"/>
      <c r="U98" s="188"/>
      <c r="V98" s="188"/>
      <c r="W98" s="188"/>
      <c r="X98" s="188"/>
      <c r="Y98" s="188"/>
      <c r="Z98" s="188"/>
      <c r="AA98" s="188"/>
      <c r="AB98" s="188"/>
      <c r="AC98" s="188"/>
      <c r="AD98" s="188"/>
      <c r="AE98" s="188"/>
      <c r="AF98" s="188"/>
      <c r="AG98" s="188"/>
      <c r="AH98" s="188"/>
    </row>
    <row r="99" ht="15" customHeight="1" hidden="1">
      <c r="A99" s="194"/>
      <c r="B99" s="192"/>
      <c r="C99" s="192"/>
      <c r="D99" s="192"/>
      <c r="E99" s="192"/>
      <c r="F99" s="192"/>
      <c r="G99" s="193"/>
      <c r="H99" s="188"/>
      <c r="I99" s="188"/>
      <c r="J99" s="188"/>
      <c r="K99" s="188"/>
      <c r="L99" s="188"/>
      <c r="M99" s="188"/>
      <c r="N99" s="188"/>
      <c r="O99" s="188"/>
      <c r="P99" s="188"/>
      <c r="Q99" s="188"/>
      <c r="R99" s="188"/>
      <c r="S99" s="188"/>
      <c r="T99" s="188"/>
      <c r="U99" s="188"/>
      <c r="V99" s="188"/>
      <c r="W99" s="188"/>
      <c r="X99" s="188"/>
      <c r="Y99" s="188"/>
      <c r="Z99" s="188"/>
      <c r="AA99" s="188"/>
      <c r="AB99" s="188"/>
      <c r="AC99" s="188"/>
      <c r="AD99" s="188"/>
      <c r="AE99" s="188"/>
      <c r="AF99" s="188"/>
      <c r="AG99" s="188"/>
      <c r="AH99" s="188"/>
    </row>
    <row r="100" ht="15" customHeight="1" hidden="1">
      <c r="A100" s="194"/>
      <c r="B100" s="192"/>
      <c r="C100" s="192"/>
      <c r="D100" s="192"/>
      <c r="E100" s="192"/>
      <c r="F100" s="192"/>
      <c r="G100" s="193"/>
      <c r="H100" s="188"/>
      <c r="I100" s="188"/>
      <c r="J100" s="188"/>
      <c r="K100" s="188"/>
      <c r="L100" s="188"/>
      <c r="M100" s="188"/>
      <c r="N100" s="188"/>
      <c r="O100" s="188"/>
      <c r="P100" s="188"/>
      <c r="Q100" s="188"/>
      <c r="R100" s="188"/>
      <c r="S100" s="188"/>
      <c r="T100" s="188"/>
      <c r="U100" s="188"/>
      <c r="V100" s="188"/>
      <c r="W100" s="188"/>
      <c r="X100" s="188"/>
      <c r="Y100" s="188"/>
      <c r="Z100" s="188"/>
      <c r="AA100" s="188"/>
      <c r="AB100" s="188"/>
      <c r="AC100" s="188"/>
      <c r="AD100" s="188"/>
      <c r="AE100" s="188"/>
      <c r="AF100" s="188"/>
      <c r="AG100" s="188"/>
      <c r="AH100" s="188"/>
    </row>
    <row r="101" ht="15" customHeight="1" hidden="1">
      <c r="A101" s="194"/>
      <c r="B101" s="192"/>
      <c r="C101" s="192"/>
      <c r="D101" s="192"/>
      <c r="E101" s="192"/>
      <c r="F101" s="192"/>
      <c r="G101" s="193"/>
      <c r="H101" s="188"/>
      <c r="I101" s="188"/>
      <c r="J101" s="188"/>
      <c r="K101" s="188"/>
      <c r="L101" s="188"/>
      <c r="M101" s="188"/>
      <c r="N101" s="188"/>
      <c r="O101" s="188"/>
      <c r="P101" s="188"/>
      <c r="Q101" s="188"/>
      <c r="R101" s="188"/>
      <c r="S101" s="188"/>
      <c r="T101" s="188"/>
      <c r="U101" s="188"/>
      <c r="V101" s="188"/>
      <c r="W101" s="188"/>
      <c r="X101" s="188"/>
      <c r="Y101" s="188"/>
      <c r="Z101" s="188"/>
      <c r="AA101" s="188"/>
      <c r="AB101" s="188"/>
      <c r="AC101" s="188"/>
      <c r="AD101" s="188"/>
      <c r="AE101" s="188"/>
      <c r="AF101" s="188"/>
      <c r="AG101" s="188"/>
      <c r="AH101" s="188"/>
    </row>
    <row r="102" ht="15" customHeight="1" hidden="1">
      <c r="A102" s="194"/>
      <c r="B102" s="192"/>
      <c r="C102" s="192"/>
      <c r="D102" s="192"/>
      <c r="E102" s="192"/>
      <c r="F102" s="192"/>
      <c r="G102" s="193"/>
      <c r="H102" s="188"/>
      <c r="I102" s="188"/>
      <c r="J102" s="188"/>
      <c r="K102" s="188"/>
      <c r="L102" s="188"/>
      <c r="M102" s="188"/>
      <c r="N102" s="188"/>
      <c r="O102" s="188"/>
      <c r="P102" s="188"/>
      <c r="Q102" s="188"/>
      <c r="R102" s="188"/>
      <c r="S102" s="188"/>
      <c r="T102" s="188"/>
      <c r="U102" s="188"/>
      <c r="V102" s="188"/>
      <c r="W102" s="188"/>
      <c r="X102" s="188"/>
      <c r="Y102" s="188"/>
      <c r="Z102" s="188"/>
      <c r="AA102" s="188"/>
      <c r="AB102" s="188"/>
      <c r="AC102" s="188"/>
      <c r="AD102" s="188"/>
      <c r="AE102" s="188"/>
      <c r="AF102" s="188"/>
      <c r="AG102" s="188"/>
      <c r="AH102" s="188"/>
    </row>
    <row r="103" ht="15" customHeight="1" hidden="1">
      <c r="A103" s="194"/>
      <c r="B103" s="192"/>
      <c r="C103" s="192"/>
      <c r="D103" s="192"/>
      <c r="E103" s="192"/>
      <c r="F103" s="192"/>
      <c r="G103" s="193"/>
      <c r="H103" s="188"/>
      <c r="I103" s="188"/>
      <c r="J103" s="188"/>
      <c r="K103" s="188"/>
      <c r="L103" s="188"/>
      <c r="M103" s="188"/>
      <c r="N103" s="188"/>
      <c r="O103" s="188"/>
      <c r="P103" s="188"/>
      <c r="Q103" s="188"/>
      <c r="R103" s="188"/>
      <c r="S103" s="188"/>
      <c r="T103" s="188"/>
      <c r="U103" s="188"/>
      <c r="V103" s="188"/>
      <c r="W103" s="188"/>
      <c r="X103" s="188"/>
      <c r="Y103" s="188"/>
      <c r="Z103" s="188"/>
      <c r="AA103" s="188"/>
      <c r="AB103" s="188"/>
      <c r="AC103" s="188"/>
      <c r="AD103" s="188"/>
      <c r="AE103" s="188"/>
      <c r="AF103" s="188"/>
      <c r="AG103" s="188"/>
      <c r="AH103" s="188"/>
    </row>
    <row r="104" ht="15" customHeight="1" hidden="1">
      <c r="A104" s="194"/>
      <c r="B104" s="192"/>
      <c r="C104" s="192"/>
      <c r="D104" s="192"/>
      <c r="E104" s="192"/>
      <c r="F104" s="192"/>
      <c r="G104" s="193"/>
      <c r="H104" s="188"/>
      <c r="I104" s="188"/>
      <c r="J104" s="188"/>
      <c r="K104" s="188"/>
      <c r="L104" s="188"/>
      <c r="M104" s="188"/>
      <c r="N104" s="188"/>
      <c r="O104" s="188"/>
      <c r="P104" s="188"/>
      <c r="Q104" s="188"/>
      <c r="R104" s="188"/>
      <c r="S104" s="188"/>
      <c r="T104" s="188"/>
      <c r="U104" s="188"/>
      <c r="V104" s="188"/>
      <c r="W104" s="188"/>
      <c r="X104" s="188"/>
      <c r="Y104" s="188"/>
      <c r="Z104" s="188"/>
      <c r="AA104" s="188"/>
      <c r="AB104" s="188"/>
      <c r="AC104" s="188"/>
      <c r="AD104" s="188"/>
      <c r="AE104" s="188"/>
      <c r="AF104" s="188"/>
      <c r="AG104" s="188"/>
      <c r="AH104" s="188"/>
    </row>
    <row r="105" ht="15" customHeight="1" hidden="1">
      <c r="A105" s="194"/>
      <c r="B105" s="192"/>
      <c r="C105" s="192"/>
      <c r="D105" s="192"/>
      <c r="E105" s="192"/>
      <c r="F105" s="192"/>
      <c r="G105" s="193"/>
      <c r="H105" s="188"/>
      <c r="I105" s="188"/>
      <c r="J105" s="188"/>
      <c r="K105" s="188"/>
      <c r="L105" s="188"/>
      <c r="M105" s="188"/>
      <c r="N105" s="188"/>
      <c r="O105" s="188"/>
      <c r="P105" s="188"/>
      <c r="Q105" s="188"/>
      <c r="R105" s="188"/>
      <c r="S105" s="188"/>
      <c r="T105" s="188"/>
      <c r="U105" s="188"/>
      <c r="V105" s="188"/>
      <c r="W105" s="188"/>
      <c r="X105" s="188"/>
      <c r="Y105" s="188"/>
      <c r="Z105" s="188"/>
      <c r="AA105" s="188"/>
      <c r="AB105" s="188"/>
      <c r="AC105" s="188"/>
      <c r="AD105" s="188"/>
      <c r="AE105" s="188"/>
      <c r="AF105" s="188"/>
      <c r="AG105" s="188"/>
      <c r="AH105" s="188"/>
    </row>
    <row r="106" ht="15" customHeight="1" hidden="1">
      <c r="A106" s="194"/>
      <c r="B106" s="192"/>
      <c r="C106" s="192"/>
      <c r="D106" s="192"/>
      <c r="E106" s="192"/>
      <c r="F106" s="192"/>
      <c r="G106" s="193"/>
      <c r="H106" s="188"/>
      <c r="I106" s="188"/>
      <c r="J106" s="188"/>
      <c r="K106" s="188"/>
      <c r="L106" s="188"/>
      <c r="M106" s="188"/>
      <c r="N106" s="188"/>
      <c r="O106" s="188"/>
      <c r="P106" s="188"/>
      <c r="Q106" s="188"/>
      <c r="R106" s="188"/>
      <c r="S106" s="188"/>
      <c r="T106" s="188"/>
      <c r="U106" s="188"/>
      <c r="V106" s="188"/>
      <c r="W106" s="188"/>
      <c r="X106" s="188"/>
      <c r="Y106" s="188"/>
      <c r="Z106" s="188"/>
      <c r="AA106" s="188"/>
      <c r="AB106" s="188"/>
      <c r="AC106" s="188"/>
      <c r="AD106" s="188"/>
      <c r="AE106" s="188"/>
      <c r="AF106" s="188"/>
      <c r="AG106" s="188"/>
      <c r="AH106" s="188"/>
    </row>
    <row r="107" ht="15" customHeight="1" hidden="1">
      <c r="A107" s="194"/>
      <c r="B107" s="192"/>
      <c r="C107" s="192"/>
      <c r="D107" s="192"/>
      <c r="E107" s="192"/>
      <c r="F107" s="192"/>
      <c r="G107" s="193"/>
      <c r="H107" s="188"/>
      <c r="I107" s="188"/>
      <c r="J107" s="188"/>
      <c r="K107" s="188"/>
      <c r="L107" s="188"/>
      <c r="M107" s="188"/>
      <c r="N107" s="188"/>
      <c r="O107" s="188"/>
      <c r="P107" s="188"/>
      <c r="Q107" s="188"/>
      <c r="R107" s="188"/>
      <c r="S107" s="188"/>
      <c r="T107" s="188"/>
      <c r="U107" s="188"/>
      <c r="V107" s="188"/>
      <c r="W107" s="188"/>
      <c r="X107" s="188"/>
      <c r="Y107" s="188"/>
      <c r="Z107" s="188"/>
      <c r="AA107" s="188"/>
      <c r="AB107" s="188"/>
      <c r="AC107" s="188"/>
      <c r="AD107" s="188"/>
      <c r="AE107" s="188"/>
      <c r="AF107" s="188"/>
      <c r="AG107" s="188"/>
      <c r="AH107" s="188"/>
    </row>
    <row r="108" ht="15" customHeight="1" hidden="1">
      <c r="A108" s="194"/>
      <c r="B108" s="192"/>
      <c r="C108" s="192"/>
      <c r="D108" s="192"/>
      <c r="E108" s="192"/>
      <c r="F108" s="192"/>
      <c r="G108" s="193"/>
      <c r="H108" s="188"/>
      <c r="I108" s="188"/>
      <c r="J108" s="188"/>
      <c r="K108" s="188"/>
      <c r="L108" s="188"/>
      <c r="M108" s="188"/>
      <c r="N108" s="188"/>
      <c r="O108" s="188"/>
      <c r="P108" s="188"/>
      <c r="Q108" s="188"/>
      <c r="R108" s="188"/>
      <c r="S108" s="188"/>
      <c r="T108" s="188"/>
      <c r="U108" s="188"/>
      <c r="V108" s="188"/>
      <c r="W108" s="188"/>
      <c r="X108" s="188"/>
      <c r="Y108" s="188"/>
      <c r="Z108" s="188"/>
      <c r="AA108" s="188"/>
      <c r="AB108" s="188"/>
      <c r="AC108" s="188"/>
      <c r="AD108" s="188"/>
      <c r="AE108" s="188"/>
      <c r="AF108" s="188"/>
      <c r="AG108" s="188"/>
      <c r="AH108" s="188"/>
    </row>
    <row r="109" ht="15" customHeight="1" hidden="1">
      <c r="A109" s="194"/>
      <c r="B109" s="192"/>
      <c r="C109" s="192"/>
      <c r="D109" s="192"/>
      <c r="E109" s="192"/>
      <c r="F109" s="192"/>
      <c r="G109" s="193"/>
      <c r="H109" s="188"/>
      <c r="I109" s="188"/>
      <c r="J109" s="188"/>
      <c r="K109" s="188"/>
      <c r="L109" s="188"/>
      <c r="M109" s="188"/>
      <c r="N109" s="188"/>
      <c r="O109" s="188"/>
      <c r="P109" s="188"/>
      <c r="Q109" s="188"/>
      <c r="R109" s="188"/>
      <c r="S109" s="188"/>
      <c r="T109" s="188"/>
      <c r="U109" s="188"/>
      <c r="V109" s="188"/>
      <c r="W109" s="188"/>
      <c r="X109" s="188"/>
      <c r="Y109" s="188"/>
      <c r="Z109" s="188"/>
      <c r="AA109" s="188"/>
      <c r="AB109" s="188"/>
      <c r="AC109" s="188"/>
      <c r="AD109" s="188"/>
      <c r="AE109" s="188"/>
      <c r="AF109" s="188"/>
      <c r="AG109" s="188"/>
      <c r="AH109" s="188"/>
    </row>
    <row r="110" ht="15" customHeight="1" hidden="1">
      <c r="A110" s="194"/>
      <c r="B110" s="192"/>
      <c r="C110" s="192"/>
      <c r="D110" s="192"/>
      <c r="E110" s="192"/>
      <c r="F110" s="192"/>
      <c r="G110" s="193"/>
      <c r="H110" s="188"/>
      <c r="I110" s="188"/>
      <c r="J110" s="188"/>
      <c r="K110" s="188"/>
      <c r="L110" s="188"/>
      <c r="M110" s="188"/>
      <c r="N110" s="188"/>
      <c r="O110" s="188"/>
      <c r="P110" s="188"/>
      <c r="Q110" s="188"/>
      <c r="R110" s="188"/>
      <c r="S110" s="188"/>
      <c r="T110" s="188"/>
      <c r="U110" s="188"/>
      <c r="V110" s="188"/>
      <c r="W110" s="188"/>
      <c r="X110" s="188"/>
      <c r="Y110" s="188"/>
      <c r="Z110" s="188"/>
      <c r="AA110" s="188"/>
      <c r="AB110" s="188"/>
      <c r="AC110" s="188"/>
      <c r="AD110" s="188"/>
      <c r="AE110" s="188"/>
      <c r="AF110" s="188"/>
      <c r="AG110" s="188"/>
      <c r="AH110" s="188"/>
    </row>
    <row r="111" ht="15" customHeight="1" hidden="1">
      <c r="A111" s="194"/>
      <c r="B111" s="192"/>
      <c r="C111" s="192"/>
      <c r="D111" s="192"/>
      <c r="E111" s="192"/>
      <c r="F111" s="192"/>
      <c r="G111" s="193"/>
      <c r="H111" s="188"/>
      <c r="I111" s="188"/>
      <c r="J111" s="188"/>
      <c r="K111" s="188"/>
      <c r="L111" s="188"/>
      <c r="M111" s="188"/>
      <c r="N111" s="188"/>
      <c r="O111" s="188"/>
      <c r="P111" s="188"/>
      <c r="Q111" s="188"/>
      <c r="R111" s="188"/>
      <c r="S111" s="188"/>
      <c r="T111" s="188"/>
      <c r="U111" s="188"/>
      <c r="V111" s="188"/>
      <c r="W111" s="188"/>
      <c r="X111" s="188"/>
      <c r="Y111" s="188"/>
      <c r="Z111" s="188"/>
      <c r="AA111" s="188"/>
      <c r="AB111" s="188"/>
      <c r="AC111" s="188"/>
      <c r="AD111" s="188"/>
      <c r="AE111" s="188"/>
      <c r="AF111" s="188"/>
      <c r="AG111" s="188"/>
      <c r="AH111" s="188"/>
    </row>
    <row r="112" ht="15" customHeight="1" hidden="1">
      <c r="A112" s="194"/>
      <c r="B112" s="192"/>
      <c r="C112" s="192"/>
      <c r="D112" s="192"/>
      <c r="E112" s="192"/>
      <c r="F112" s="192"/>
      <c r="G112" s="193"/>
      <c r="H112" s="188"/>
      <c r="I112" s="188"/>
      <c r="J112" s="188"/>
      <c r="K112" s="188"/>
      <c r="L112" s="188"/>
      <c r="M112" s="188"/>
      <c r="N112" s="188"/>
      <c r="O112" s="188"/>
      <c r="P112" s="188"/>
      <c r="Q112" s="188"/>
      <c r="R112" s="188"/>
      <c r="S112" s="188"/>
      <c r="T112" s="188"/>
      <c r="U112" s="188"/>
      <c r="V112" s="188"/>
      <c r="W112" s="188"/>
      <c r="X112" s="188"/>
      <c r="Y112" s="188"/>
      <c r="Z112" s="188"/>
      <c r="AA112" s="188"/>
      <c r="AB112" s="188"/>
      <c r="AC112" s="188"/>
      <c r="AD112" s="188"/>
      <c r="AE112" s="188"/>
      <c r="AF112" s="188"/>
      <c r="AG112" s="188"/>
      <c r="AH112" s="188"/>
    </row>
    <row r="113" ht="15" customHeight="1" hidden="1">
      <c r="A113" s="194"/>
      <c r="B113" s="192"/>
      <c r="C113" s="192"/>
      <c r="D113" s="192"/>
      <c r="E113" s="192"/>
      <c r="F113" s="192"/>
      <c r="G113" s="193"/>
      <c r="H113" s="188"/>
      <c r="I113" s="188"/>
      <c r="J113" s="188"/>
      <c r="K113" s="188"/>
      <c r="L113" s="188"/>
      <c r="M113" s="188"/>
      <c r="N113" s="188"/>
      <c r="O113" s="188"/>
      <c r="P113" s="188"/>
      <c r="Q113" s="188"/>
      <c r="R113" s="188"/>
      <c r="S113" s="188"/>
      <c r="T113" s="188"/>
      <c r="U113" s="188"/>
      <c r="V113" s="188"/>
      <c r="W113" s="188"/>
      <c r="X113" s="188"/>
      <c r="Y113" s="188"/>
      <c r="Z113" s="188"/>
      <c r="AA113" s="188"/>
      <c r="AB113" s="188"/>
      <c r="AC113" s="188"/>
      <c r="AD113" s="188"/>
      <c r="AE113" s="188"/>
      <c r="AF113" s="188"/>
      <c r="AG113" s="188"/>
      <c r="AH113" s="188"/>
    </row>
    <row r="114" ht="15" customHeight="1" hidden="1">
      <c r="A114" s="194"/>
      <c r="B114" s="192"/>
      <c r="C114" s="192"/>
      <c r="D114" s="192"/>
      <c r="E114" s="192"/>
      <c r="F114" s="192"/>
      <c r="G114" s="193"/>
      <c r="H114" s="188"/>
      <c r="I114" s="188"/>
      <c r="J114" s="188"/>
      <c r="K114" s="188"/>
      <c r="L114" s="188"/>
      <c r="M114" s="188"/>
      <c r="N114" s="188"/>
      <c r="O114" s="188"/>
      <c r="P114" s="188"/>
      <c r="Q114" s="188"/>
      <c r="R114" s="188"/>
      <c r="S114" s="188"/>
      <c r="T114" s="188"/>
      <c r="U114" s="188"/>
      <c r="V114" s="188"/>
      <c r="W114" s="188"/>
      <c r="X114" s="188"/>
      <c r="Y114" s="188"/>
      <c r="Z114" s="188"/>
      <c r="AA114" s="188"/>
      <c r="AB114" s="188"/>
      <c r="AC114" s="188"/>
      <c r="AD114" s="188"/>
      <c r="AE114" s="188"/>
      <c r="AF114" s="188"/>
      <c r="AG114" s="188"/>
      <c r="AH114" s="188"/>
    </row>
    <row r="115" ht="15" customHeight="1" hidden="1">
      <c r="A115" s="194"/>
      <c r="B115" s="192"/>
      <c r="C115" s="192"/>
      <c r="D115" s="192"/>
      <c r="E115" s="192"/>
      <c r="F115" s="192"/>
      <c r="G115" s="193"/>
      <c r="H115" s="188"/>
      <c r="I115" s="188"/>
      <c r="J115" s="188"/>
      <c r="K115" s="188"/>
      <c r="L115" s="188"/>
      <c r="M115" s="188"/>
      <c r="N115" s="188"/>
      <c r="O115" s="188"/>
      <c r="P115" s="188"/>
      <c r="Q115" s="188"/>
      <c r="R115" s="188"/>
      <c r="S115" s="188"/>
      <c r="T115" s="188"/>
      <c r="U115" s="188"/>
      <c r="V115" s="188"/>
      <c r="W115" s="188"/>
      <c r="X115" s="188"/>
      <c r="Y115" s="188"/>
      <c r="Z115" s="188"/>
      <c r="AA115" s="188"/>
      <c r="AB115" s="188"/>
      <c r="AC115" s="188"/>
      <c r="AD115" s="188"/>
      <c r="AE115" s="188"/>
      <c r="AF115" s="188"/>
      <c r="AG115" s="188"/>
      <c r="AH115" s="188"/>
    </row>
    <row r="116" ht="15" customHeight="1" hidden="1">
      <c r="A116" s="194"/>
      <c r="B116" s="192"/>
      <c r="C116" s="192"/>
      <c r="D116" s="192"/>
      <c r="E116" s="192"/>
      <c r="F116" s="192"/>
      <c r="G116" s="193"/>
      <c r="H116" s="188"/>
      <c r="I116" s="188"/>
      <c r="J116" s="188"/>
      <c r="K116" s="188"/>
      <c r="L116" s="188"/>
      <c r="M116" s="188"/>
      <c r="N116" s="188"/>
      <c r="O116" s="188"/>
      <c r="P116" s="188"/>
      <c r="Q116" s="188"/>
      <c r="R116" s="188"/>
      <c r="S116" s="188"/>
      <c r="T116" s="188"/>
      <c r="U116" s="188"/>
      <c r="V116" s="188"/>
      <c r="W116" s="188"/>
      <c r="X116" s="188"/>
      <c r="Y116" s="188"/>
      <c r="Z116" s="188"/>
      <c r="AA116" s="188"/>
      <c r="AB116" s="188"/>
      <c r="AC116" s="188"/>
      <c r="AD116" s="188"/>
      <c r="AE116" s="188"/>
      <c r="AF116" s="188"/>
      <c r="AG116" s="188"/>
      <c r="AH116" s="188"/>
    </row>
    <row r="117" ht="15" customHeight="1" hidden="1">
      <c r="A117" s="194"/>
      <c r="B117" s="192"/>
      <c r="C117" s="192"/>
      <c r="D117" s="192"/>
      <c r="E117" s="192"/>
      <c r="F117" s="192"/>
      <c r="G117" s="193"/>
      <c r="H117" s="188"/>
      <c r="I117" s="188"/>
      <c r="J117" s="188"/>
      <c r="K117" s="188"/>
      <c r="L117" s="188"/>
      <c r="M117" s="188"/>
      <c r="N117" s="188"/>
      <c r="O117" s="188"/>
      <c r="P117" s="188"/>
      <c r="Q117" s="188"/>
      <c r="R117" s="188"/>
      <c r="S117" s="188"/>
      <c r="T117" s="188"/>
      <c r="U117" s="188"/>
      <c r="V117" s="188"/>
      <c r="W117" s="188"/>
      <c r="X117" s="188"/>
      <c r="Y117" s="188"/>
      <c r="Z117" s="188"/>
      <c r="AA117" s="188"/>
      <c r="AB117" s="188"/>
      <c r="AC117" s="188"/>
      <c r="AD117" s="188"/>
      <c r="AE117" s="188"/>
      <c r="AF117" s="188"/>
      <c r="AG117" s="188"/>
      <c r="AH117" s="188"/>
    </row>
    <row r="118" ht="15" customHeight="1" hidden="1">
      <c r="A118" s="194"/>
      <c r="B118" s="192"/>
      <c r="C118" s="192"/>
      <c r="D118" s="192"/>
      <c r="E118" s="192"/>
      <c r="F118" s="192"/>
      <c r="G118" s="193"/>
      <c r="H118" s="188"/>
      <c r="I118" s="188"/>
      <c r="J118" s="188"/>
      <c r="K118" s="188"/>
      <c r="L118" s="188"/>
      <c r="M118" s="188"/>
      <c r="N118" s="188"/>
      <c r="O118" s="188"/>
      <c r="P118" s="188"/>
      <c r="Q118" s="188"/>
      <c r="R118" s="188"/>
      <c r="S118" s="188"/>
      <c r="T118" s="188"/>
      <c r="U118" s="188"/>
      <c r="V118" s="188"/>
      <c r="W118" s="188"/>
      <c r="X118" s="188"/>
      <c r="Y118" s="188"/>
      <c r="Z118" s="188"/>
      <c r="AA118" s="188"/>
      <c r="AB118" s="188"/>
      <c r="AC118" s="188"/>
      <c r="AD118" s="188"/>
      <c r="AE118" s="188"/>
      <c r="AF118" s="188"/>
      <c r="AG118" s="188"/>
      <c r="AH118" s="188"/>
    </row>
    <row r="119" ht="15" customHeight="1" hidden="1">
      <c r="A119" s="194"/>
      <c r="B119" s="192"/>
      <c r="C119" s="192"/>
      <c r="D119" s="192"/>
      <c r="E119" s="192"/>
      <c r="F119" s="192"/>
      <c r="G119" s="193"/>
      <c r="H119" s="188"/>
      <c r="I119" s="188"/>
      <c r="J119" s="188"/>
      <c r="K119" s="188"/>
      <c r="L119" s="188"/>
      <c r="M119" s="188"/>
      <c r="N119" s="188"/>
      <c r="O119" s="188"/>
      <c r="P119" s="188"/>
      <c r="Q119" s="188"/>
      <c r="R119" s="188"/>
      <c r="S119" s="188"/>
      <c r="T119" s="188"/>
      <c r="U119" s="188"/>
      <c r="V119" s="188"/>
      <c r="W119" s="188"/>
      <c r="X119" s="188"/>
      <c r="Y119" s="188"/>
      <c r="Z119" s="188"/>
      <c r="AA119" s="188"/>
      <c r="AB119" s="188"/>
      <c r="AC119" s="188"/>
      <c r="AD119" s="188"/>
      <c r="AE119" s="188"/>
      <c r="AF119" s="188"/>
      <c r="AG119" s="188"/>
      <c r="AH119" s="188"/>
    </row>
    <row r="120" ht="15" customHeight="1" hidden="1">
      <c r="A120" s="194"/>
      <c r="B120" s="192"/>
      <c r="C120" s="192"/>
      <c r="D120" s="192"/>
      <c r="E120" s="192"/>
      <c r="F120" s="192"/>
      <c r="G120" s="193"/>
      <c r="H120" s="188"/>
      <c r="I120" s="188"/>
      <c r="J120" s="188"/>
      <c r="K120" s="188"/>
      <c r="L120" s="188"/>
      <c r="M120" s="188"/>
      <c r="N120" s="188"/>
      <c r="O120" s="188"/>
      <c r="P120" s="188"/>
      <c r="Q120" s="188"/>
      <c r="R120" s="188"/>
      <c r="S120" s="188"/>
      <c r="T120" s="188"/>
      <c r="U120" s="188"/>
      <c r="V120" s="188"/>
      <c r="W120" s="188"/>
      <c r="X120" s="188"/>
      <c r="Y120" s="188"/>
      <c r="Z120" s="188"/>
      <c r="AA120" s="188"/>
      <c r="AB120" s="188"/>
      <c r="AC120" s="188"/>
      <c r="AD120" s="188"/>
      <c r="AE120" s="188"/>
      <c r="AF120" s="188"/>
      <c r="AG120" s="188"/>
      <c r="AH120" s="188"/>
    </row>
    <row r="121" ht="15" customHeight="1" hidden="1">
      <c r="A121" s="194"/>
      <c r="B121" s="192"/>
      <c r="C121" s="192"/>
      <c r="D121" s="192"/>
      <c r="E121" s="192"/>
      <c r="F121" s="192"/>
      <c r="G121" s="193"/>
      <c r="H121" s="188"/>
      <c r="I121" s="188"/>
      <c r="J121" s="188"/>
      <c r="K121" s="188"/>
      <c r="L121" s="188"/>
      <c r="M121" s="188"/>
      <c r="N121" s="188"/>
      <c r="O121" s="188"/>
      <c r="P121" s="188"/>
      <c r="Q121" s="188"/>
      <c r="R121" s="188"/>
      <c r="S121" s="188"/>
      <c r="T121" s="188"/>
      <c r="U121" s="188"/>
      <c r="V121" s="188"/>
      <c r="W121" s="188"/>
      <c r="X121" s="188"/>
      <c r="Y121" s="188"/>
      <c r="Z121" s="188"/>
      <c r="AA121" s="188"/>
      <c r="AB121" s="188"/>
      <c r="AC121" s="188"/>
      <c r="AD121" s="188"/>
      <c r="AE121" s="188"/>
      <c r="AF121" s="188"/>
      <c r="AG121" s="188"/>
      <c r="AH121" s="188"/>
    </row>
    <row r="122" ht="15" customHeight="1" hidden="1">
      <c r="A122" s="194"/>
      <c r="B122" s="192"/>
      <c r="C122" s="192"/>
      <c r="D122" s="192"/>
      <c r="E122" s="192"/>
      <c r="F122" s="192"/>
      <c r="G122" s="193"/>
      <c r="H122" s="188"/>
      <c r="I122" s="188"/>
      <c r="J122" s="188"/>
      <c r="K122" s="188"/>
      <c r="L122" s="188"/>
      <c r="M122" s="188"/>
      <c r="N122" s="188"/>
      <c r="O122" s="188"/>
      <c r="P122" s="188"/>
      <c r="Q122" s="188"/>
      <c r="R122" s="188"/>
      <c r="S122" s="188"/>
      <c r="T122" s="188"/>
      <c r="U122" s="188"/>
      <c r="V122" s="188"/>
      <c r="W122" s="188"/>
      <c r="X122" s="188"/>
      <c r="Y122" s="188"/>
      <c r="Z122" s="188"/>
      <c r="AA122" s="188"/>
      <c r="AB122" s="188"/>
      <c r="AC122" s="188"/>
      <c r="AD122" s="188"/>
      <c r="AE122" s="188"/>
      <c r="AF122" s="188"/>
      <c r="AG122" s="188"/>
      <c r="AH122" s="188"/>
    </row>
    <row r="123" ht="15" customHeight="1" hidden="1">
      <c r="A123" s="194"/>
      <c r="B123" s="192"/>
      <c r="C123" s="192"/>
      <c r="D123" s="192"/>
      <c r="E123" s="192"/>
      <c r="F123" s="192"/>
      <c r="G123" s="193"/>
      <c r="H123" s="188"/>
      <c r="I123" s="188"/>
      <c r="J123" s="188"/>
      <c r="K123" s="188"/>
      <c r="L123" s="188"/>
      <c r="M123" s="188"/>
      <c r="N123" s="188"/>
      <c r="O123" s="188"/>
      <c r="P123" s="188"/>
      <c r="Q123" s="188"/>
      <c r="R123" s="188"/>
      <c r="S123" s="188"/>
      <c r="T123" s="188"/>
      <c r="U123" s="188"/>
      <c r="V123" s="188"/>
      <c r="W123" s="188"/>
      <c r="X123" s="188"/>
      <c r="Y123" s="188"/>
      <c r="Z123" s="188"/>
      <c r="AA123" s="188"/>
      <c r="AB123" s="188"/>
      <c r="AC123" s="188"/>
      <c r="AD123" s="188"/>
      <c r="AE123" s="188"/>
      <c r="AF123" s="188"/>
      <c r="AG123" s="188"/>
      <c r="AH123" s="188"/>
    </row>
    <row r="124" ht="15" customHeight="1" hidden="1">
      <c r="A124" s="194"/>
      <c r="B124" s="192"/>
      <c r="C124" s="192"/>
      <c r="D124" s="192"/>
      <c r="E124" s="192"/>
      <c r="F124" s="192"/>
      <c r="G124" s="193"/>
      <c r="H124" s="188"/>
      <c r="I124" s="188"/>
      <c r="J124" s="188"/>
      <c r="K124" s="188"/>
      <c r="L124" s="188"/>
      <c r="M124" s="188"/>
      <c r="N124" s="188"/>
      <c r="O124" s="188"/>
      <c r="P124" s="188"/>
      <c r="Q124" s="188"/>
      <c r="R124" s="188"/>
      <c r="S124" s="188"/>
      <c r="T124" s="188"/>
      <c r="U124" s="188"/>
      <c r="V124" s="188"/>
      <c r="W124" s="188"/>
      <c r="X124" s="188"/>
      <c r="Y124" s="188"/>
      <c r="Z124" s="188"/>
      <c r="AA124" s="188"/>
      <c r="AB124" s="188"/>
      <c r="AC124" s="188"/>
      <c r="AD124" s="188"/>
      <c r="AE124" s="188"/>
      <c r="AF124" s="188"/>
      <c r="AG124" s="188"/>
      <c r="AH124" s="188"/>
    </row>
    <row r="125" ht="15" customHeight="1" hidden="1">
      <c r="A125" s="194"/>
      <c r="B125" s="192"/>
      <c r="C125" s="192"/>
      <c r="D125" s="192"/>
      <c r="E125" s="192"/>
      <c r="F125" s="192"/>
      <c r="G125" s="193"/>
      <c r="H125" s="188"/>
      <c r="I125" s="188"/>
      <c r="J125" s="188"/>
      <c r="K125" s="188"/>
      <c r="L125" s="188"/>
      <c r="M125" s="188"/>
      <c r="N125" s="188"/>
      <c r="O125" s="188"/>
      <c r="P125" s="188"/>
      <c r="Q125" s="188"/>
      <c r="R125" s="188"/>
      <c r="S125" s="188"/>
      <c r="T125" s="188"/>
      <c r="U125" s="188"/>
      <c r="V125" s="188"/>
      <c r="W125" s="188"/>
      <c r="X125" s="188"/>
      <c r="Y125" s="188"/>
      <c r="Z125" s="188"/>
      <c r="AA125" s="188"/>
      <c r="AB125" s="188"/>
      <c r="AC125" s="188"/>
      <c r="AD125" s="188"/>
      <c r="AE125" s="188"/>
      <c r="AF125" s="188"/>
      <c r="AG125" s="188"/>
      <c r="AH125" s="188"/>
    </row>
    <row r="126" ht="15" customHeight="1" hidden="1">
      <c r="A126" s="194"/>
      <c r="B126" s="192"/>
      <c r="C126" s="192"/>
      <c r="D126" s="192"/>
      <c r="E126" s="192"/>
      <c r="F126" s="192"/>
      <c r="G126" s="193"/>
      <c r="H126" s="188"/>
      <c r="I126" s="188"/>
      <c r="J126" s="188"/>
      <c r="K126" s="188"/>
      <c r="L126" s="188"/>
      <c r="M126" s="188"/>
      <c r="N126" s="188"/>
      <c r="O126" s="188"/>
      <c r="P126" s="188"/>
      <c r="Q126" s="188"/>
      <c r="R126" s="188"/>
      <c r="S126" s="188"/>
      <c r="T126" s="188"/>
      <c r="U126" s="188"/>
      <c r="V126" s="188"/>
      <c r="W126" s="188"/>
      <c r="X126" s="188"/>
      <c r="Y126" s="188"/>
      <c r="Z126" s="188"/>
      <c r="AA126" s="188"/>
      <c r="AB126" s="188"/>
      <c r="AC126" s="188"/>
      <c r="AD126" s="188"/>
      <c r="AE126" s="188"/>
      <c r="AF126" s="188"/>
      <c r="AG126" s="188"/>
      <c r="AH126" s="188"/>
    </row>
    <row r="127" ht="15" customHeight="1" hidden="1">
      <c r="A127" s="194"/>
      <c r="B127" s="192"/>
      <c r="C127" s="192"/>
      <c r="D127" s="192"/>
      <c r="E127" s="192"/>
      <c r="F127" s="192"/>
      <c r="G127" s="193"/>
      <c r="H127" s="188"/>
      <c r="I127" s="188"/>
      <c r="J127" s="188"/>
      <c r="K127" s="188"/>
      <c r="L127" s="188"/>
      <c r="M127" s="188"/>
      <c r="N127" s="188"/>
      <c r="O127" s="188"/>
      <c r="P127" s="188"/>
      <c r="Q127" s="188"/>
      <c r="R127" s="188"/>
      <c r="S127" s="188"/>
      <c r="T127" s="188"/>
      <c r="U127" s="188"/>
      <c r="V127" s="188"/>
      <c r="W127" s="188"/>
      <c r="X127" s="188"/>
      <c r="Y127" s="188"/>
      <c r="Z127" s="188"/>
      <c r="AA127" s="188"/>
      <c r="AB127" s="188"/>
      <c r="AC127" s="188"/>
      <c r="AD127" s="188"/>
      <c r="AE127" s="188"/>
      <c r="AF127" s="188"/>
      <c r="AG127" s="188"/>
      <c r="AH127" s="188"/>
    </row>
    <row r="128" ht="15" customHeight="1" hidden="1">
      <c r="A128" s="194"/>
      <c r="B128" s="192"/>
      <c r="C128" s="192"/>
      <c r="D128" s="192"/>
      <c r="E128" s="192"/>
      <c r="F128" s="192"/>
      <c r="G128" s="193"/>
      <c r="H128" s="188"/>
      <c r="I128" s="188"/>
      <c r="J128" s="188"/>
      <c r="K128" s="188"/>
      <c r="L128" s="188"/>
      <c r="M128" s="188"/>
      <c r="N128" s="188"/>
      <c r="O128" s="188"/>
      <c r="P128" s="188"/>
      <c r="Q128" s="188"/>
      <c r="R128" s="188"/>
      <c r="S128" s="188"/>
      <c r="T128" s="188"/>
      <c r="U128" s="188"/>
      <c r="V128" s="188"/>
      <c r="W128" s="188"/>
      <c r="X128" s="188"/>
      <c r="Y128" s="188"/>
      <c r="Z128" s="188"/>
      <c r="AA128" s="188"/>
      <c r="AB128" s="188"/>
      <c r="AC128" s="188"/>
      <c r="AD128" s="188"/>
      <c r="AE128" s="188"/>
      <c r="AF128" s="188"/>
      <c r="AG128" s="188"/>
      <c r="AH128" s="188"/>
    </row>
    <row r="129" ht="15" customHeight="1" hidden="1">
      <c r="A129" s="194"/>
      <c r="B129" s="192"/>
      <c r="C129" s="192"/>
      <c r="D129" s="192"/>
      <c r="E129" s="192"/>
      <c r="F129" s="192"/>
      <c r="G129" s="193"/>
      <c r="H129" s="188"/>
      <c r="I129" s="188"/>
      <c r="J129" s="188"/>
      <c r="K129" s="188"/>
      <c r="L129" s="188"/>
      <c r="M129" s="188"/>
      <c r="N129" s="188"/>
      <c r="O129" s="188"/>
      <c r="P129" s="188"/>
      <c r="Q129" s="188"/>
      <c r="R129" s="188"/>
      <c r="S129" s="188"/>
      <c r="T129" s="188"/>
      <c r="U129" s="188"/>
      <c r="V129" s="188"/>
      <c r="W129" s="188"/>
      <c r="X129" s="188"/>
      <c r="Y129" s="188"/>
      <c r="Z129" s="188"/>
      <c r="AA129" s="188"/>
      <c r="AB129" s="188"/>
      <c r="AC129" s="188"/>
      <c r="AD129" s="188"/>
      <c r="AE129" s="188"/>
      <c r="AF129" s="188"/>
      <c r="AG129" s="188"/>
      <c r="AH129" s="188"/>
    </row>
    <row r="130" ht="15" customHeight="1" hidden="1">
      <c r="A130" s="194"/>
      <c r="B130" s="192"/>
      <c r="C130" s="192"/>
      <c r="D130" s="192"/>
      <c r="E130" s="192"/>
      <c r="F130" s="192"/>
      <c r="G130" s="193"/>
      <c r="H130" s="188"/>
      <c r="I130" s="188"/>
      <c r="J130" s="188"/>
      <c r="K130" s="188"/>
      <c r="L130" s="188"/>
      <c r="M130" s="188"/>
      <c r="N130" s="188"/>
      <c r="O130" s="188"/>
      <c r="P130" s="188"/>
      <c r="Q130" s="188"/>
      <c r="R130" s="188"/>
      <c r="S130" s="188"/>
      <c r="T130" s="188"/>
      <c r="U130" s="188"/>
      <c r="V130" s="188"/>
      <c r="W130" s="188"/>
      <c r="X130" s="188"/>
      <c r="Y130" s="188"/>
      <c r="Z130" s="188"/>
      <c r="AA130" s="188"/>
      <c r="AB130" s="188"/>
      <c r="AC130" s="188"/>
      <c r="AD130" s="188"/>
      <c r="AE130" s="188"/>
      <c r="AF130" s="188"/>
      <c r="AG130" s="188"/>
      <c r="AH130" s="188"/>
    </row>
    <row r="131" ht="15" customHeight="1" hidden="1">
      <c r="A131" s="194"/>
      <c r="B131" s="192"/>
      <c r="C131" s="192"/>
      <c r="D131" s="192"/>
      <c r="E131" s="192"/>
      <c r="F131" s="192"/>
      <c r="G131" s="193"/>
      <c r="H131" s="188"/>
      <c r="I131" s="188"/>
      <c r="J131" s="188"/>
      <c r="K131" s="188"/>
      <c r="L131" s="188"/>
      <c r="M131" s="188"/>
      <c r="N131" s="188"/>
      <c r="O131" s="188"/>
      <c r="P131" s="188"/>
      <c r="Q131" s="188"/>
      <c r="R131" s="188"/>
      <c r="S131" s="188"/>
      <c r="T131" s="188"/>
      <c r="U131" s="188"/>
      <c r="V131" s="188"/>
      <c r="W131" s="188"/>
      <c r="X131" s="188"/>
      <c r="Y131" s="188"/>
      <c r="Z131" s="188"/>
      <c r="AA131" s="188"/>
      <c r="AB131" s="188"/>
      <c r="AC131" s="188"/>
      <c r="AD131" s="188"/>
      <c r="AE131" s="188"/>
      <c r="AF131" s="188"/>
      <c r="AG131" s="188"/>
      <c r="AH131" s="188"/>
    </row>
    <row r="132" ht="15" customHeight="1" hidden="1">
      <c r="A132" s="194"/>
      <c r="B132" s="192"/>
      <c r="C132" s="192"/>
      <c r="D132" s="192"/>
      <c r="E132" s="192"/>
      <c r="F132" s="192"/>
      <c r="G132" s="193"/>
      <c r="H132" s="188"/>
      <c r="I132" s="188"/>
      <c r="J132" s="188"/>
      <c r="K132" s="188"/>
      <c r="L132" s="188"/>
      <c r="M132" s="188"/>
      <c r="N132" s="188"/>
      <c r="O132" s="188"/>
      <c r="P132" s="188"/>
      <c r="Q132" s="188"/>
      <c r="R132" s="188"/>
      <c r="S132" s="188"/>
      <c r="T132" s="188"/>
      <c r="U132" s="188"/>
      <c r="V132" s="188"/>
      <c r="W132" s="188"/>
      <c r="X132" s="188"/>
      <c r="Y132" s="188"/>
      <c r="Z132" s="188"/>
      <c r="AA132" s="188"/>
      <c r="AB132" s="188"/>
      <c r="AC132" s="188"/>
      <c r="AD132" s="188"/>
      <c r="AE132" s="188"/>
      <c r="AF132" s="188"/>
      <c r="AG132" s="188"/>
      <c r="AH132" s="188"/>
    </row>
    <row r="133" ht="15" customHeight="1" hidden="1">
      <c r="A133" s="194"/>
      <c r="B133" s="192"/>
      <c r="C133" s="192"/>
      <c r="D133" s="192"/>
      <c r="E133" s="192"/>
      <c r="F133" s="192"/>
      <c r="G133" s="193"/>
      <c r="H133" s="188"/>
      <c r="I133" s="188"/>
      <c r="J133" s="188"/>
      <c r="K133" s="188"/>
      <c r="L133" s="188"/>
      <c r="M133" s="188"/>
      <c r="N133" s="188"/>
      <c r="O133" s="188"/>
      <c r="P133" s="188"/>
      <c r="Q133" s="188"/>
      <c r="R133" s="188"/>
      <c r="S133" s="188"/>
      <c r="T133" s="188"/>
      <c r="U133" s="188"/>
      <c r="V133" s="188"/>
      <c r="W133" s="188"/>
      <c r="X133" s="188"/>
      <c r="Y133" s="188"/>
      <c r="Z133" s="188"/>
      <c r="AA133" s="188"/>
      <c r="AB133" s="188"/>
      <c r="AC133" s="188"/>
      <c r="AD133" s="188"/>
      <c r="AE133" s="188"/>
      <c r="AF133" s="188"/>
      <c r="AG133" s="188"/>
      <c r="AH133" s="188"/>
    </row>
    <row r="134" ht="15" customHeight="1" hidden="1">
      <c r="A134" s="194"/>
      <c r="B134" s="192"/>
      <c r="C134" s="192"/>
      <c r="D134" s="192"/>
      <c r="E134" s="192"/>
      <c r="F134" s="192"/>
      <c r="G134" s="193"/>
      <c r="H134" s="188"/>
      <c r="I134" s="188"/>
      <c r="J134" s="188"/>
      <c r="K134" s="188"/>
      <c r="L134" s="188"/>
      <c r="M134" s="188"/>
      <c r="N134" s="188"/>
      <c r="O134" s="188"/>
      <c r="P134" s="188"/>
      <c r="Q134" s="188"/>
      <c r="R134" s="188"/>
      <c r="S134" s="188"/>
      <c r="T134" s="188"/>
      <c r="U134" s="188"/>
      <c r="V134" s="188"/>
      <c r="W134" s="188"/>
      <c r="X134" s="188"/>
      <c r="Y134" s="188"/>
      <c r="Z134" s="188"/>
      <c r="AA134" s="188"/>
      <c r="AB134" s="188"/>
      <c r="AC134" s="188"/>
      <c r="AD134" s="188"/>
      <c r="AE134" s="188"/>
      <c r="AF134" s="188"/>
      <c r="AG134" s="188"/>
      <c r="AH134" s="188"/>
    </row>
    <row r="135" ht="15" customHeight="1" hidden="1">
      <c r="A135" s="194"/>
      <c r="B135" s="192"/>
      <c r="C135" s="192"/>
      <c r="D135" s="192"/>
      <c r="E135" s="192"/>
      <c r="F135" s="192"/>
      <c r="G135" s="193"/>
      <c r="H135" s="188"/>
      <c r="I135" s="188"/>
      <c r="J135" s="188"/>
      <c r="K135" s="188"/>
      <c r="L135" s="188"/>
      <c r="M135" s="188"/>
      <c r="N135" s="188"/>
      <c r="O135" s="188"/>
      <c r="P135" s="188"/>
      <c r="Q135" s="188"/>
      <c r="R135" s="188"/>
      <c r="S135" s="188"/>
      <c r="T135" s="188"/>
      <c r="U135" s="188"/>
      <c r="V135" s="188"/>
      <c r="W135" s="188"/>
      <c r="X135" s="188"/>
      <c r="Y135" s="188"/>
      <c r="Z135" s="188"/>
      <c r="AA135" s="188"/>
      <c r="AB135" s="188"/>
      <c r="AC135" s="188"/>
      <c r="AD135" s="188"/>
      <c r="AE135" s="188"/>
      <c r="AF135" s="188"/>
      <c r="AG135" s="188"/>
      <c r="AH135" s="188"/>
    </row>
    <row r="136" ht="15" customHeight="1" hidden="1">
      <c r="A136" s="194"/>
      <c r="B136" s="192"/>
      <c r="C136" s="192"/>
      <c r="D136" s="192"/>
      <c r="E136" s="192"/>
      <c r="F136" s="192"/>
      <c r="G136" s="193"/>
      <c r="H136" s="188"/>
      <c r="I136" s="188"/>
      <c r="J136" s="188"/>
      <c r="K136" s="188"/>
      <c r="L136" s="188"/>
      <c r="M136" s="188"/>
      <c r="N136" s="188"/>
      <c r="O136" s="188"/>
      <c r="P136" s="188"/>
      <c r="Q136" s="188"/>
      <c r="R136" s="188"/>
      <c r="S136" s="188"/>
      <c r="T136" s="188"/>
      <c r="U136" s="188"/>
      <c r="V136" s="188"/>
      <c r="W136" s="188"/>
      <c r="X136" s="188"/>
      <c r="Y136" s="188"/>
      <c r="Z136" s="188"/>
      <c r="AA136" s="188"/>
      <c r="AB136" s="188"/>
      <c r="AC136" s="188"/>
      <c r="AD136" s="188"/>
      <c r="AE136" s="188"/>
      <c r="AF136" s="188"/>
      <c r="AG136" s="188"/>
      <c r="AH136" s="188"/>
    </row>
    <row r="137" ht="15" customHeight="1" hidden="1">
      <c r="A137" s="194"/>
      <c r="B137" s="192"/>
      <c r="C137" s="192"/>
      <c r="D137" s="192"/>
      <c r="E137" s="192"/>
      <c r="F137" s="192"/>
      <c r="G137" s="193"/>
      <c r="H137" s="188"/>
      <c r="I137" s="188"/>
      <c r="J137" s="188"/>
      <c r="K137" s="188"/>
      <c r="L137" s="188"/>
      <c r="M137" s="188"/>
      <c r="N137" s="188"/>
      <c r="O137" s="188"/>
      <c r="P137" s="188"/>
      <c r="Q137" s="188"/>
      <c r="R137" s="188"/>
      <c r="S137" s="188"/>
      <c r="T137" s="188"/>
      <c r="U137" s="188"/>
      <c r="V137" s="188"/>
      <c r="W137" s="188"/>
      <c r="X137" s="188"/>
      <c r="Y137" s="188"/>
      <c r="Z137" s="188"/>
      <c r="AA137" s="188"/>
      <c r="AB137" s="188"/>
      <c r="AC137" s="188"/>
      <c r="AD137" s="188"/>
      <c r="AE137" s="188"/>
      <c r="AF137" s="188"/>
      <c r="AG137" s="188"/>
      <c r="AH137" s="188"/>
    </row>
    <row r="138" ht="15" customHeight="1" hidden="1">
      <c r="A138" s="194"/>
      <c r="B138" s="192"/>
      <c r="C138" s="192"/>
      <c r="D138" s="192"/>
      <c r="E138" s="192"/>
      <c r="F138" s="192"/>
      <c r="G138" s="193"/>
      <c r="H138" s="188"/>
      <c r="I138" s="188"/>
      <c r="J138" s="188"/>
      <c r="K138" s="188"/>
      <c r="L138" s="188"/>
      <c r="M138" s="188"/>
      <c r="N138" s="188"/>
      <c r="O138" s="188"/>
      <c r="P138" s="188"/>
      <c r="Q138" s="188"/>
      <c r="R138" s="188"/>
      <c r="S138" s="188"/>
      <c r="T138" s="188"/>
      <c r="U138" s="188"/>
      <c r="V138" s="188"/>
      <c r="W138" s="188"/>
      <c r="X138" s="188"/>
      <c r="Y138" s="188"/>
      <c r="Z138" s="188"/>
      <c r="AA138" s="188"/>
      <c r="AB138" s="188"/>
      <c r="AC138" s="188"/>
      <c r="AD138" s="188"/>
      <c r="AE138" s="188"/>
      <c r="AF138" s="188"/>
      <c r="AG138" s="188"/>
      <c r="AH138" s="188"/>
    </row>
    <row r="139" ht="15" customHeight="1" hidden="1">
      <c r="A139" s="194"/>
      <c r="B139" s="192"/>
      <c r="C139" s="192"/>
      <c r="D139" s="192"/>
      <c r="E139" s="192"/>
      <c r="F139" s="192"/>
      <c r="G139" s="193"/>
      <c r="H139" s="188"/>
      <c r="I139" s="188"/>
      <c r="J139" s="188"/>
      <c r="K139" s="188"/>
      <c r="L139" s="188"/>
      <c r="M139" s="188"/>
      <c r="N139" s="188"/>
      <c r="O139" s="188"/>
      <c r="P139" s="188"/>
      <c r="Q139" s="188"/>
      <c r="R139" s="188"/>
      <c r="S139" s="188"/>
      <c r="T139" s="188"/>
      <c r="U139" s="188"/>
      <c r="V139" s="188"/>
      <c r="W139" s="188"/>
      <c r="X139" s="188"/>
      <c r="Y139" s="188"/>
      <c r="Z139" s="188"/>
      <c r="AA139" s="188"/>
      <c r="AB139" s="188"/>
      <c r="AC139" s="188"/>
      <c r="AD139" s="188"/>
      <c r="AE139" s="188"/>
      <c r="AF139" s="188"/>
      <c r="AG139" s="188"/>
      <c r="AH139" s="188"/>
    </row>
    <row r="140" ht="15" customHeight="1" hidden="1">
      <c r="A140" s="194"/>
      <c r="B140" s="192"/>
      <c r="C140" s="192"/>
      <c r="D140" s="192"/>
      <c r="E140" s="192"/>
      <c r="F140" s="192"/>
      <c r="G140" s="193"/>
      <c r="H140" s="188"/>
      <c r="I140" s="188"/>
      <c r="J140" s="188"/>
      <c r="K140" s="188"/>
      <c r="L140" s="188"/>
      <c r="M140" s="188"/>
      <c r="N140" s="188"/>
      <c r="O140" s="188"/>
      <c r="P140" s="188"/>
      <c r="Q140" s="188"/>
      <c r="R140" s="188"/>
      <c r="S140" s="188"/>
      <c r="T140" s="188"/>
      <c r="U140" s="188"/>
      <c r="V140" s="188"/>
      <c r="W140" s="188"/>
      <c r="X140" s="188"/>
      <c r="Y140" s="188"/>
      <c r="Z140" s="188"/>
      <c r="AA140" s="188"/>
      <c r="AB140" s="188"/>
      <c r="AC140" s="188"/>
      <c r="AD140" s="188"/>
      <c r="AE140" s="188"/>
      <c r="AF140" s="188"/>
      <c r="AG140" s="188"/>
      <c r="AH140" s="188"/>
    </row>
    <row r="141" ht="15" customHeight="1" hidden="1">
      <c r="A141" s="194"/>
      <c r="B141" s="192"/>
      <c r="C141" s="192"/>
      <c r="D141" s="192"/>
      <c r="E141" s="192"/>
      <c r="F141" s="192"/>
      <c r="G141" s="193"/>
      <c r="H141" s="188"/>
      <c r="I141" s="188"/>
      <c r="J141" s="188"/>
      <c r="K141" s="188"/>
      <c r="L141" s="188"/>
      <c r="M141" s="188"/>
      <c r="N141" s="188"/>
      <c r="O141" s="188"/>
      <c r="P141" s="188"/>
      <c r="Q141" s="188"/>
      <c r="R141" s="188"/>
      <c r="S141" s="188"/>
      <c r="T141" s="188"/>
      <c r="U141" s="188"/>
      <c r="V141" s="188"/>
      <c r="W141" s="188"/>
      <c r="X141" s="188"/>
      <c r="Y141" s="188"/>
      <c r="Z141" s="188"/>
      <c r="AA141" s="188"/>
      <c r="AB141" s="188"/>
      <c r="AC141" s="188"/>
      <c r="AD141" s="188"/>
      <c r="AE141" s="188"/>
      <c r="AF141" s="188"/>
      <c r="AG141" s="188"/>
      <c r="AH141" s="188"/>
    </row>
    <row r="142" ht="15" customHeight="1" hidden="1">
      <c r="A142" s="194"/>
      <c r="B142" s="192"/>
      <c r="C142" s="192"/>
      <c r="D142" s="192"/>
      <c r="E142" s="192"/>
      <c r="F142" s="192"/>
      <c r="G142" s="193"/>
      <c r="H142" s="188"/>
      <c r="I142" s="188"/>
      <c r="J142" s="188"/>
      <c r="K142" s="188"/>
      <c r="L142" s="188"/>
      <c r="M142" s="188"/>
      <c r="N142" s="188"/>
      <c r="O142" s="188"/>
      <c r="P142" s="188"/>
      <c r="Q142" s="188"/>
      <c r="R142" s="188"/>
      <c r="S142" s="188"/>
      <c r="T142" s="188"/>
      <c r="U142" s="188"/>
      <c r="V142" s="188"/>
      <c r="W142" s="188"/>
      <c r="X142" s="188"/>
      <c r="Y142" s="188"/>
      <c r="Z142" s="188"/>
      <c r="AA142" s="188"/>
      <c r="AB142" s="188"/>
      <c r="AC142" s="188"/>
      <c r="AD142" s="188"/>
      <c r="AE142" s="188"/>
      <c r="AF142" s="188"/>
      <c r="AG142" s="188"/>
      <c r="AH142" s="188"/>
    </row>
    <row r="143" ht="15" customHeight="1" hidden="1">
      <c r="A143" s="194"/>
      <c r="B143" s="192"/>
      <c r="C143" s="192"/>
      <c r="D143" s="192"/>
      <c r="E143" s="192"/>
      <c r="F143" s="192"/>
      <c r="G143" s="193"/>
      <c r="H143" s="188"/>
      <c r="I143" s="188"/>
      <c r="J143" s="188"/>
      <c r="K143" s="188"/>
      <c r="L143" s="188"/>
      <c r="M143" s="188"/>
      <c r="N143" s="188"/>
      <c r="O143" s="188"/>
      <c r="P143" s="188"/>
      <c r="Q143" s="188"/>
      <c r="R143" s="188"/>
      <c r="S143" s="188"/>
      <c r="T143" s="188"/>
      <c r="U143" s="188"/>
      <c r="V143" s="188"/>
      <c r="W143" s="188"/>
      <c r="X143" s="188"/>
      <c r="Y143" s="188"/>
      <c r="Z143" s="188"/>
      <c r="AA143" s="188"/>
      <c r="AB143" s="188"/>
      <c r="AC143" s="188"/>
      <c r="AD143" s="188"/>
      <c r="AE143" s="188"/>
      <c r="AF143" s="188"/>
      <c r="AG143" s="188"/>
      <c r="AH143" s="188"/>
    </row>
    <row r="144" ht="15" customHeight="1" hidden="1">
      <c r="A144" s="194"/>
      <c r="B144" s="192"/>
      <c r="C144" s="192"/>
      <c r="D144" s="192"/>
      <c r="E144" s="192"/>
      <c r="F144" s="192"/>
      <c r="G144" s="193"/>
      <c r="H144" s="188"/>
      <c r="I144" s="188"/>
      <c r="J144" s="188"/>
      <c r="K144" s="188"/>
      <c r="L144" s="188"/>
      <c r="M144" s="188"/>
      <c r="N144" s="188"/>
      <c r="O144" s="188"/>
      <c r="P144" s="188"/>
      <c r="Q144" s="188"/>
      <c r="R144" s="188"/>
      <c r="S144" s="188"/>
      <c r="T144" s="188"/>
      <c r="U144" s="188"/>
      <c r="V144" s="188"/>
      <c r="W144" s="188"/>
      <c r="X144" s="188"/>
      <c r="Y144" s="188"/>
      <c r="Z144" s="188"/>
      <c r="AA144" s="188"/>
      <c r="AB144" s="188"/>
      <c r="AC144" s="188"/>
      <c r="AD144" s="188"/>
      <c r="AE144" s="188"/>
      <c r="AF144" s="188"/>
      <c r="AG144" s="188"/>
      <c r="AH144" s="188"/>
    </row>
    <row r="145" ht="15" customHeight="1" hidden="1">
      <c r="A145" s="194"/>
      <c r="B145" s="192"/>
      <c r="C145" s="192"/>
      <c r="D145" s="192"/>
      <c r="E145" s="192"/>
      <c r="F145" s="192"/>
      <c r="G145" s="193"/>
      <c r="H145" s="188"/>
      <c r="I145" s="188"/>
      <c r="J145" s="188"/>
      <c r="K145" s="188"/>
      <c r="L145" s="188"/>
      <c r="M145" s="188"/>
      <c r="N145" s="188"/>
      <c r="O145" s="188"/>
      <c r="P145" s="188"/>
      <c r="Q145" s="188"/>
      <c r="R145" s="188"/>
      <c r="S145" s="188"/>
      <c r="T145" s="188"/>
      <c r="U145" s="188"/>
      <c r="V145" s="188"/>
      <c r="W145" s="188"/>
      <c r="X145" s="188"/>
      <c r="Y145" s="188"/>
      <c r="Z145" s="188"/>
      <c r="AA145" s="188"/>
      <c r="AB145" s="188"/>
      <c r="AC145" s="188"/>
      <c r="AD145" s="188"/>
      <c r="AE145" s="188"/>
      <c r="AF145" s="188"/>
      <c r="AG145" s="188"/>
      <c r="AH145" s="188"/>
    </row>
    <row r="146" ht="15" customHeight="1" hidden="1">
      <c r="A146" s="194"/>
      <c r="B146" s="192"/>
      <c r="C146" s="192"/>
      <c r="D146" s="192"/>
      <c r="E146" s="192"/>
      <c r="F146" s="192"/>
      <c r="G146" s="193"/>
      <c r="H146" s="188"/>
      <c r="I146" s="188"/>
      <c r="J146" s="188"/>
      <c r="K146" s="188"/>
      <c r="L146" s="188"/>
      <c r="M146" s="188"/>
      <c r="N146" s="188"/>
      <c r="O146" s="188"/>
      <c r="P146" s="188"/>
      <c r="Q146" s="188"/>
      <c r="R146" s="188"/>
      <c r="S146" s="188"/>
      <c r="T146" s="188"/>
      <c r="U146" s="188"/>
      <c r="V146" s="188"/>
      <c r="W146" s="188"/>
      <c r="X146" s="188"/>
      <c r="Y146" s="188"/>
      <c r="Z146" s="188"/>
      <c r="AA146" s="188"/>
      <c r="AB146" s="188"/>
      <c r="AC146" s="188"/>
      <c r="AD146" s="188"/>
      <c r="AE146" s="188"/>
      <c r="AF146" s="188"/>
      <c r="AG146" s="188"/>
      <c r="AH146" s="188"/>
    </row>
    <row r="147" ht="15" customHeight="1" hidden="1">
      <c r="A147" s="194"/>
      <c r="B147" s="192"/>
      <c r="C147" s="192"/>
      <c r="D147" s="192"/>
      <c r="E147" s="192"/>
      <c r="F147" s="192"/>
      <c r="G147" s="193"/>
      <c r="H147" s="188"/>
      <c r="I147" s="188"/>
      <c r="J147" s="188"/>
      <c r="K147" s="188"/>
      <c r="L147" s="188"/>
      <c r="M147" s="188"/>
      <c r="N147" s="188"/>
      <c r="O147" s="188"/>
      <c r="P147" s="188"/>
      <c r="Q147" s="188"/>
      <c r="R147" s="188"/>
      <c r="S147" s="188"/>
      <c r="T147" s="188"/>
      <c r="U147" s="188"/>
      <c r="V147" s="188"/>
      <c r="W147" s="188"/>
      <c r="X147" s="188"/>
      <c r="Y147" s="188"/>
      <c r="Z147" s="188"/>
      <c r="AA147" s="188"/>
      <c r="AB147" s="188"/>
      <c r="AC147" s="188"/>
      <c r="AD147" s="188"/>
      <c r="AE147" s="188"/>
      <c r="AF147" s="188"/>
      <c r="AG147" s="188"/>
      <c r="AH147" s="188"/>
    </row>
    <row r="148" ht="15" customHeight="1" hidden="1">
      <c r="A148" s="194"/>
      <c r="B148" s="192"/>
      <c r="C148" s="192"/>
      <c r="D148" s="192"/>
      <c r="E148" s="192"/>
      <c r="F148" s="192"/>
      <c r="G148" s="193"/>
      <c r="H148" s="188"/>
      <c r="I148" s="188"/>
      <c r="J148" s="188"/>
      <c r="K148" s="188"/>
      <c r="L148" s="188"/>
      <c r="M148" s="188"/>
      <c r="N148" s="188"/>
      <c r="O148" s="188"/>
      <c r="P148" s="188"/>
      <c r="Q148" s="188"/>
      <c r="R148" s="188"/>
      <c r="S148" s="188"/>
      <c r="T148" s="188"/>
      <c r="U148" s="188"/>
      <c r="V148" s="188"/>
      <c r="W148" s="188"/>
      <c r="X148" s="188"/>
      <c r="Y148" s="188"/>
      <c r="Z148" s="188"/>
      <c r="AA148" s="188"/>
      <c r="AB148" s="188"/>
      <c r="AC148" s="188"/>
      <c r="AD148" s="188"/>
      <c r="AE148" s="188"/>
      <c r="AF148" s="188"/>
      <c r="AG148" s="188"/>
      <c r="AH148" s="188"/>
    </row>
    <row r="149" ht="15" customHeight="1" hidden="1">
      <c r="A149" s="194"/>
      <c r="B149" s="192"/>
      <c r="C149" s="192"/>
      <c r="D149" s="192"/>
      <c r="E149" s="192"/>
      <c r="F149" s="192"/>
      <c r="G149" s="193"/>
      <c r="H149" s="188"/>
      <c r="I149" s="188"/>
      <c r="J149" s="188"/>
      <c r="K149" s="188"/>
      <c r="L149" s="188"/>
      <c r="M149" s="188"/>
      <c r="N149" s="188"/>
      <c r="O149" s="188"/>
      <c r="P149" s="188"/>
      <c r="Q149" s="188"/>
      <c r="R149" s="188"/>
      <c r="S149" s="188"/>
      <c r="T149" s="188"/>
      <c r="U149" s="188"/>
      <c r="V149" s="188"/>
      <c r="W149" s="188"/>
      <c r="X149" s="188"/>
      <c r="Y149" s="188"/>
      <c r="Z149" s="188"/>
      <c r="AA149" s="188"/>
      <c r="AB149" s="188"/>
      <c r="AC149" s="188"/>
      <c r="AD149" s="188"/>
      <c r="AE149" s="188"/>
      <c r="AF149" s="188"/>
      <c r="AG149" s="188"/>
      <c r="AH149" s="188"/>
    </row>
    <row r="150" ht="15" customHeight="1" hidden="1">
      <c r="A150" s="194"/>
      <c r="B150" s="192"/>
      <c r="C150" s="192"/>
      <c r="D150" s="192"/>
      <c r="E150" s="192"/>
      <c r="F150" s="192"/>
      <c r="G150" s="193"/>
      <c r="H150" s="188"/>
      <c r="I150" s="188"/>
      <c r="J150" s="188"/>
      <c r="K150" s="188"/>
      <c r="L150" s="188"/>
      <c r="M150" s="188"/>
      <c r="N150" s="188"/>
      <c r="O150" s="188"/>
      <c r="P150" s="188"/>
      <c r="Q150" s="188"/>
      <c r="R150" s="188"/>
      <c r="S150" s="188"/>
      <c r="T150" s="188"/>
      <c r="U150" s="188"/>
      <c r="V150" s="188"/>
      <c r="W150" s="188"/>
      <c r="X150" s="188"/>
      <c r="Y150" s="188"/>
      <c r="Z150" s="188"/>
      <c r="AA150" s="188"/>
      <c r="AB150" s="188"/>
      <c r="AC150" s="188"/>
      <c r="AD150" s="188"/>
      <c r="AE150" s="188"/>
      <c r="AF150" s="188"/>
      <c r="AG150" s="188"/>
      <c r="AH150" s="188"/>
    </row>
    <row r="151" ht="15" customHeight="1" hidden="1">
      <c r="A151" s="194"/>
      <c r="B151" s="192"/>
      <c r="C151" s="192"/>
      <c r="D151" s="192"/>
      <c r="E151" s="192"/>
      <c r="F151" s="192"/>
      <c r="G151" s="193"/>
      <c r="H151" s="188"/>
      <c r="I151" s="188"/>
      <c r="J151" s="188"/>
      <c r="K151" s="188"/>
      <c r="L151" s="188"/>
      <c r="M151" s="188"/>
      <c r="N151" s="188"/>
      <c r="O151" s="188"/>
      <c r="P151" s="188"/>
      <c r="Q151" s="188"/>
      <c r="R151" s="188"/>
      <c r="S151" s="188"/>
      <c r="T151" s="188"/>
      <c r="U151" s="188"/>
      <c r="V151" s="188"/>
      <c r="W151" s="188"/>
      <c r="X151" s="188"/>
      <c r="Y151" s="188"/>
      <c r="Z151" s="188"/>
      <c r="AA151" s="188"/>
      <c r="AB151" s="188"/>
      <c r="AC151" s="188"/>
      <c r="AD151" s="188"/>
      <c r="AE151" s="188"/>
      <c r="AF151" s="188"/>
      <c r="AG151" s="188"/>
      <c r="AH151" s="188"/>
    </row>
    <row r="152" ht="15" customHeight="1" hidden="1">
      <c r="A152" s="194"/>
      <c r="B152" s="192"/>
      <c r="C152" s="192"/>
      <c r="D152" s="192"/>
      <c r="E152" s="192"/>
      <c r="F152" s="192"/>
      <c r="G152" s="193"/>
      <c r="H152" s="188"/>
      <c r="I152" s="188"/>
      <c r="J152" s="188"/>
      <c r="K152" s="188"/>
      <c r="L152" s="188"/>
      <c r="M152" s="188"/>
      <c r="N152" s="188"/>
      <c r="O152" s="188"/>
      <c r="P152" s="188"/>
      <c r="Q152" s="188"/>
      <c r="R152" s="188"/>
      <c r="S152" s="188"/>
      <c r="T152" s="188"/>
      <c r="U152" s="188"/>
      <c r="V152" s="188"/>
      <c r="W152" s="188"/>
      <c r="X152" s="188"/>
      <c r="Y152" s="188"/>
      <c r="Z152" s="188"/>
      <c r="AA152" s="188"/>
      <c r="AB152" s="188"/>
      <c r="AC152" s="188"/>
      <c r="AD152" s="188"/>
      <c r="AE152" s="188"/>
      <c r="AF152" s="188"/>
      <c r="AG152" s="188"/>
      <c r="AH152" s="188"/>
    </row>
    <row r="153" ht="15" customHeight="1" hidden="1">
      <c r="A153" s="194"/>
      <c r="B153" s="192"/>
      <c r="C153" s="192"/>
      <c r="D153" s="192"/>
      <c r="E153" s="192"/>
      <c r="F153" s="192"/>
      <c r="G153" s="193"/>
      <c r="H153" s="188"/>
      <c r="I153" s="188"/>
      <c r="J153" s="188"/>
      <c r="K153" s="188"/>
      <c r="L153" s="188"/>
      <c r="M153" s="188"/>
      <c r="N153" s="188"/>
      <c r="O153" s="188"/>
      <c r="P153" s="188"/>
      <c r="Q153" s="188"/>
      <c r="R153" s="188"/>
      <c r="S153" s="188"/>
      <c r="T153" s="188"/>
      <c r="U153" s="188"/>
      <c r="V153" s="188"/>
      <c r="W153" s="188"/>
      <c r="X153" s="188"/>
      <c r="Y153" s="188"/>
      <c r="Z153" s="188"/>
      <c r="AA153" s="188"/>
      <c r="AB153" s="188"/>
      <c r="AC153" s="188"/>
      <c r="AD153" s="188"/>
      <c r="AE153" s="188"/>
      <c r="AF153" s="188"/>
      <c r="AG153" s="188"/>
      <c r="AH153" s="188"/>
    </row>
    <row r="154" ht="15" customHeight="1" hidden="1">
      <c r="A154" s="194"/>
      <c r="B154" s="192"/>
      <c r="C154" s="192"/>
      <c r="D154" s="192"/>
      <c r="E154" s="192"/>
      <c r="F154" s="192"/>
      <c r="G154" s="193"/>
      <c r="H154" s="188"/>
      <c r="I154" s="188"/>
      <c r="J154" s="188"/>
      <c r="K154" s="188"/>
      <c r="L154" s="188"/>
      <c r="M154" s="188"/>
      <c r="N154" s="188"/>
      <c r="O154" s="188"/>
      <c r="P154" s="188"/>
      <c r="Q154" s="188"/>
      <c r="R154" s="188"/>
      <c r="S154" s="188"/>
      <c r="T154" s="188"/>
      <c r="U154" s="188"/>
      <c r="V154" s="188"/>
      <c r="W154" s="188"/>
      <c r="X154" s="188"/>
      <c r="Y154" s="188"/>
      <c r="Z154" s="188"/>
      <c r="AA154" s="188"/>
      <c r="AB154" s="188"/>
      <c r="AC154" s="188"/>
      <c r="AD154" s="188"/>
      <c r="AE154" s="188"/>
      <c r="AF154" s="188"/>
      <c r="AG154" s="188"/>
      <c r="AH154" s="188"/>
    </row>
    <row r="155" ht="15" customHeight="1" hidden="1">
      <c r="A155" s="194"/>
      <c r="B155" s="192"/>
      <c r="C155" s="192"/>
      <c r="D155" s="192"/>
      <c r="E155" s="192"/>
      <c r="F155" s="192"/>
      <c r="G155" s="193"/>
      <c r="H155" s="188"/>
      <c r="I155" s="188"/>
      <c r="J155" s="188"/>
      <c r="K155" s="188"/>
      <c r="L155" s="188"/>
      <c r="M155" s="188"/>
      <c r="N155" s="188"/>
      <c r="O155" s="188"/>
      <c r="P155" s="188"/>
      <c r="Q155" s="188"/>
      <c r="R155" s="188"/>
      <c r="S155" s="188"/>
      <c r="T155" s="188"/>
      <c r="U155" s="188"/>
      <c r="V155" s="188"/>
      <c r="W155" s="188"/>
      <c r="X155" s="188"/>
      <c r="Y155" s="188"/>
      <c r="Z155" s="188"/>
      <c r="AA155" s="188"/>
      <c r="AB155" s="188"/>
      <c r="AC155" s="188"/>
      <c r="AD155" s="188"/>
      <c r="AE155" s="188"/>
      <c r="AF155" s="188"/>
      <c r="AG155" s="188"/>
      <c r="AH155" s="188"/>
    </row>
    <row r="156" ht="15" customHeight="1" hidden="1">
      <c r="A156" s="194"/>
      <c r="B156" s="192"/>
      <c r="C156" s="192"/>
      <c r="D156" s="192"/>
      <c r="E156" s="192"/>
      <c r="F156" s="192"/>
      <c r="G156" s="193"/>
      <c r="H156" s="188"/>
      <c r="I156" s="188"/>
      <c r="J156" s="188"/>
      <c r="K156" s="188"/>
      <c r="L156" s="188"/>
      <c r="M156" s="188"/>
      <c r="N156" s="188"/>
      <c r="O156" s="188"/>
      <c r="P156" s="188"/>
      <c r="Q156" s="188"/>
      <c r="R156" s="188"/>
      <c r="S156" s="188"/>
      <c r="T156" s="188"/>
      <c r="U156" s="188"/>
      <c r="V156" s="188"/>
      <c r="W156" s="188"/>
      <c r="X156" s="188"/>
      <c r="Y156" s="188"/>
      <c r="Z156" s="188"/>
      <c r="AA156" s="188"/>
      <c r="AB156" s="188"/>
      <c r="AC156" s="188"/>
      <c r="AD156" s="188"/>
      <c r="AE156" s="188"/>
      <c r="AF156" s="188"/>
      <c r="AG156" s="188"/>
      <c r="AH156" s="188"/>
    </row>
    <row r="157" ht="15" customHeight="1" hidden="1">
      <c r="A157" s="194"/>
      <c r="B157" s="192"/>
      <c r="C157" s="192"/>
      <c r="D157" s="192"/>
      <c r="E157" s="192"/>
      <c r="F157" s="192"/>
      <c r="G157" s="193"/>
      <c r="H157" s="188"/>
      <c r="I157" s="188"/>
      <c r="J157" s="188"/>
      <c r="K157" s="188"/>
      <c r="L157" s="188"/>
      <c r="M157" s="188"/>
      <c r="N157" s="188"/>
      <c r="O157" s="188"/>
      <c r="P157" s="188"/>
      <c r="Q157" s="188"/>
      <c r="R157" s="188"/>
      <c r="S157" s="188"/>
      <c r="T157" s="188"/>
      <c r="U157" s="188"/>
      <c r="V157" s="188"/>
      <c r="W157" s="188"/>
      <c r="X157" s="188"/>
      <c r="Y157" s="188"/>
      <c r="Z157" s="188"/>
      <c r="AA157" s="188"/>
      <c r="AB157" s="188"/>
      <c r="AC157" s="188"/>
      <c r="AD157" s="188"/>
      <c r="AE157" s="188"/>
      <c r="AF157" s="188"/>
      <c r="AG157" s="188"/>
      <c r="AH157" s="188"/>
    </row>
    <row r="158" ht="15" customHeight="1" hidden="1">
      <c r="A158" s="194"/>
      <c r="B158" s="192"/>
      <c r="C158" s="192"/>
      <c r="D158" s="192"/>
      <c r="E158" s="192"/>
      <c r="F158" s="192"/>
      <c r="G158" s="193"/>
      <c r="H158" s="188"/>
      <c r="I158" s="188"/>
      <c r="J158" s="188"/>
      <c r="K158" s="188"/>
      <c r="L158" s="188"/>
      <c r="M158" s="188"/>
      <c r="N158" s="188"/>
      <c r="O158" s="188"/>
      <c r="P158" s="188"/>
      <c r="Q158" s="188"/>
      <c r="R158" s="188"/>
      <c r="S158" s="188"/>
      <c r="T158" s="188"/>
      <c r="U158" s="188"/>
      <c r="V158" s="188"/>
      <c r="W158" s="188"/>
      <c r="X158" s="188"/>
      <c r="Y158" s="188"/>
      <c r="Z158" s="188"/>
      <c r="AA158" s="188"/>
      <c r="AB158" s="188"/>
      <c r="AC158" s="188"/>
      <c r="AD158" s="188"/>
      <c r="AE158" s="188"/>
      <c r="AF158" s="188"/>
      <c r="AG158" s="188"/>
      <c r="AH158" s="188"/>
    </row>
    <row r="159" ht="15" customHeight="1">
      <c r="A159" s="195"/>
      <c r="B159" s="196"/>
      <c r="C159" s="196"/>
      <c r="D159" s="196"/>
      <c r="E159" s="196"/>
      <c r="F159" s="196"/>
      <c r="G159" s="197"/>
      <c r="H159" s="198"/>
      <c r="I159" s="198"/>
      <c r="J159" s="198"/>
      <c r="K159" s="198"/>
      <c r="L159" s="198"/>
      <c r="M159" s="198"/>
      <c r="N159" s="198"/>
      <c r="O159" s="198"/>
      <c r="P159" s="198"/>
      <c r="Q159" s="198"/>
      <c r="R159" s="198"/>
      <c r="S159" s="198"/>
      <c r="T159" s="198"/>
      <c r="U159" s="198"/>
      <c r="V159" s="198"/>
      <c r="W159" s="198"/>
      <c r="X159" s="198"/>
      <c r="Y159" s="198"/>
      <c r="Z159" s="198"/>
      <c r="AA159" s="198"/>
      <c r="AB159" s="198"/>
      <c r="AC159" s="198"/>
      <c r="AD159" s="198"/>
      <c r="AE159" s="198"/>
      <c r="AF159" s="198"/>
      <c r="AG159" s="198"/>
      <c r="AH159" s="198"/>
    </row>
  </sheetData>
  <mergeCells count="24">
    <mergeCell ref="B2:C2"/>
    <mergeCell ref="E2:E3"/>
    <mergeCell ref="B3:C3"/>
    <mergeCell ref="D5:E5"/>
    <mergeCell ref="B8:B9"/>
    <mergeCell ref="B10:B11"/>
    <mergeCell ref="B12:B13"/>
    <mergeCell ref="B14:B15"/>
    <mergeCell ref="B16:B17"/>
    <mergeCell ref="B18:B19"/>
    <mergeCell ref="B20:B21"/>
    <mergeCell ref="B22:B23"/>
    <mergeCell ref="B24:B25"/>
    <mergeCell ref="B26:B27"/>
    <mergeCell ref="B28:B29"/>
    <mergeCell ref="B40:B41"/>
    <mergeCell ref="B42:B43"/>
    <mergeCell ref="B44:B45"/>
    <mergeCell ref="B46:B47"/>
    <mergeCell ref="B30:B31"/>
    <mergeCell ref="B32:B33"/>
    <mergeCell ref="B34:B35"/>
    <mergeCell ref="B36:B37"/>
    <mergeCell ref="B38:B39"/>
  </mergeCells>
  <conditionalFormatting sqref="E2:E3">
    <cfRule type="containsText" dxfId="12" priority="1" stopIfTrue="1" text="Error">
      <formula>NOT(ISERROR(FIND(UPPER("Error"),UPPER(E2))))</formula>
      <formula>"Error"</formula>
    </cfRule>
  </conditionalFormatting>
  <pageMargins left="0.7" right="0.7" top="0.75" bottom="0.75" header="0.3" footer="0.3"/>
  <pageSetup firstPageNumber="1" fitToHeight="1" fitToWidth="1" scale="100" useFirstPageNumber="0" orientation="portrait" pageOrder="downThenOver"/>
  <headerFooter>
    <oddFooter>&amp;C&amp;"Helvetica Neue,Regular"&amp;12&amp;K000000&amp;P</oddFooter>
  </headerFooter>
  <drawing r:id="rId1"/>
</worksheet>
</file>

<file path=xl/worksheets/sheet6.xml><?xml version="1.0" encoding="utf-8"?>
<worksheet xmlns:r="http://schemas.openxmlformats.org/officeDocument/2006/relationships" xmlns="http://schemas.openxmlformats.org/spreadsheetml/2006/main">
  <sheetPr>
    <pageSetUpPr fitToPage="1"/>
  </sheetPr>
  <dimension ref="A1:DX169"/>
  <sheetViews>
    <sheetView workbookViewId="0" showGridLines="0" defaultGridColor="1"/>
  </sheetViews>
  <sheetFormatPr defaultColWidth="8.83333" defaultRowHeight="15" customHeight="1" outlineLevelRow="0" outlineLevelCol="0"/>
  <cols>
    <col min="1" max="1" width="4.5" style="199" customWidth="1"/>
    <col min="2" max="2" width="14.8516" style="199" customWidth="1"/>
    <col min="3" max="3" width="26.5" style="199" customWidth="1"/>
    <col min="4" max="4" width="62.6719" style="199" customWidth="1"/>
    <col min="5" max="5" width="22" style="199" customWidth="1"/>
    <col min="6" max="6" width="18.5" style="199" customWidth="1"/>
    <col min="7" max="7" width="39.6719" style="199" customWidth="1"/>
    <col min="8" max="8" width="62.5" style="199" customWidth="1"/>
    <col min="9" max="9" width="14.5" style="199" customWidth="1"/>
    <col min="10" max="10" width="12.6719" style="199" customWidth="1"/>
    <col min="11" max="11" width="11.5" style="199" customWidth="1"/>
    <col min="12" max="12" width="17.8516" style="199" customWidth="1"/>
    <col min="13" max="14" width="11.5" style="199" customWidth="1"/>
    <col min="15" max="16" width="27" style="199" customWidth="1"/>
    <col min="17" max="18" width="11.5" style="199" customWidth="1"/>
    <col min="19" max="19" width="2.35156" style="199" customWidth="1"/>
    <col min="20" max="20" width="13" style="199" customWidth="1"/>
    <col min="21" max="21" width="14.8516" style="199" customWidth="1"/>
    <col min="22" max="22" width="20.6719" style="199" customWidth="1"/>
    <col min="23" max="23" width="23.6719" style="199" customWidth="1"/>
    <col min="24" max="24" width="16.8516" style="199" customWidth="1"/>
    <col min="25" max="25" width="14" style="199" customWidth="1"/>
    <col min="26" max="26" width="21.3516" style="199" customWidth="1"/>
    <col min="27" max="27" width="14" style="199" customWidth="1"/>
    <col min="28" max="28" width="33.6719" style="199" customWidth="1"/>
    <col min="29" max="29" width="26.5" style="199" customWidth="1"/>
    <col min="30" max="30" width="50" style="199" customWidth="1"/>
    <col min="31" max="31" width="18.6719" style="199" customWidth="1"/>
    <col min="32" max="32" width="23.6719" style="199" customWidth="1"/>
    <col min="33" max="33" width="16.6719" style="199" customWidth="1"/>
    <col min="34" max="34" width="35.6719" style="199" customWidth="1"/>
    <col min="35" max="35" width="76.3516" style="199" customWidth="1"/>
    <col min="36" max="39" width="22.3516" style="199" customWidth="1"/>
    <col min="40" max="40" width="20.5" style="199" customWidth="1"/>
    <col min="41" max="41" width="34.1719" style="199" customWidth="1"/>
    <col min="42" max="42" width="19.6719" style="199" customWidth="1"/>
    <col min="43" max="43" width="16.3516" style="199" customWidth="1"/>
    <col min="44" max="47" width="27.3516" style="199" customWidth="1"/>
    <col min="48" max="48" width="21.1719" style="199" customWidth="1"/>
    <col min="49" max="49" width="23.3516" style="199" customWidth="1"/>
    <col min="50" max="50" width="68.3516" style="199" customWidth="1"/>
    <col min="51" max="51" width="26.5" style="199" customWidth="1"/>
    <col min="52" max="52" width="14.3516" style="199" customWidth="1"/>
    <col min="53" max="53" width="26.5" style="199" customWidth="1"/>
    <col min="54" max="73" width="26.1719" style="199" customWidth="1"/>
    <col min="74" max="74" width="11.5" style="199" customWidth="1"/>
    <col min="75" max="77" width="8.85156" style="199" customWidth="1"/>
    <col min="78" max="128" hidden="1" width="8.83333" style="199" customWidth="1"/>
    <col min="129" max="16384" width="8.85156" style="199" customWidth="1"/>
  </cols>
  <sheetData>
    <row r="1" ht="15.75" customHeight="1">
      <c r="A1" s="7"/>
      <c r="B1" s="74"/>
      <c r="C1" s="74"/>
      <c r="D1" s="74"/>
      <c r="E1" s="8"/>
      <c r="F1" s="74"/>
      <c r="G1" s="74"/>
      <c r="H1" s="74"/>
      <c r="I1" s="200"/>
      <c r="J1" s="200"/>
      <c r="K1" s="200"/>
      <c r="L1" s="200"/>
      <c r="M1" s="200"/>
      <c r="N1" s="201"/>
      <c r="O1" t="s" s="202">
        <v>98</v>
      </c>
      <c r="P1" s="203">
        <f>_xlfn.IFERROR(SUM(AE11:AE31),"Error ▲")</f>
        <v>0</v>
      </c>
      <c r="Q1" s="204"/>
      <c r="R1" t="s" s="205">
        <v>99</v>
      </c>
      <c r="S1" s="8"/>
      <c r="T1" s="206"/>
      <c r="U1" s="8"/>
      <c r="V1" s="8"/>
      <c r="W1" s="8"/>
      <c r="X1" s="8"/>
      <c r="Y1" s="8"/>
      <c r="Z1" s="8"/>
      <c r="AA1" s="8"/>
      <c r="AB1" s="8"/>
      <c r="AC1" s="8"/>
      <c r="AD1" s="8"/>
      <c r="AE1" s="8"/>
      <c r="AF1" s="8"/>
      <c r="AG1" s="8"/>
      <c r="AH1" s="8"/>
      <c r="AI1" s="8"/>
      <c r="AJ1" s="8"/>
      <c r="AK1" s="8"/>
      <c r="AL1" s="8"/>
      <c r="AM1" s="8"/>
      <c r="AN1" s="8"/>
      <c r="AO1" s="8"/>
      <c r="AP1" s="8"/>
      <c r="AQ1" s="8"/>
      <c r="AR1" s="8"/>
      <c r="AS1" s="8"/>
      <c r="AT1" s="8"/>
      <c r="AU1" s="8"/>
      <c r="AV1" s="8"/>
      <c r="AW1" s="8"/>
      <c r="AX1" s="8"/>
      <c r="AY1" s="8"/>
      <c r="AZ1" s="8"/>
      <c r="BA1" s="8"/>
      <c r="BB1" s="8"/>
      <c r="BC1" s="8"/>
      <c r="BD1" s="8"/>
      <c r="BE1" s="8"/>
      <c r="BF1" s="8"/>
      <c r="BG1" s="8"/>
      <c r="BH1" s="8"/>
      <c r="BI1" s="8"/>
      <c r="BJ1" s="8"/>
      <c r="BK1" s="8"/>
      <c r="BL1" s="8"/>
      <c r="BM1" s="8"/>
      <c r="BN1" s="8"/>
      <c r="BO1" s="8"/>
      <c r="BP1" s="8"/>
      <c r="BQ1" s="8"/>
      <c r="BR1" s="8"/>
      <c r="BS1" s="8"/>
      <c r="BT1" s="8"/>
      <c r="BU1" s="8"/>
      <c r="BV1" s="8"/>
      <c r="BW1" s="8"/>
      <c r="BX1" s="8"/>
      <c r="BY1" s="8"/>
      <c r="BZ1" s="8"/>
      <c r="CA1" s="8"/>
      <c r="CB1" s="8"/>
      <c r="CC1" s="8"/>
      <c r="CD1" s="8"/>
      <c r="CE1" s="8"/>
      <c r="CF1" s="8"/>
      <c r="CG1" s="8"/>
      <c r="CH1" s="8"/>
      <c r="CI1" s="8"/>
      <c r="CJ1" s="8"/>
      <c r="CK1" s="8"/>
      <c r="CL1" s="8"/>
      <c r="CM1" s="8"/>
      <c r="CN1" s="8"/>
      <c r="CO1" s="8"/>
      <c r="CP1" s="8"/>
      <c r="CQ1" s="8"/>
      <c r="CR1" s="8"/>
      <c r="CS1" s="8"/>
      <c r="CT1" s="8"/>
      <c r="CU1" s="8"/>
      <c r="CV1" s="8"/>
      <c r="CW1" s="8"/>
      <c r="CX1" s="8"/>
      <c r="CY1" s="8"/>
      <c r="CZ1" s="8"/>
      <c r="DA1" s="8"/>
      <c r="DB1" s="8"/>
      <c r="DC1" s="8"/>
      <c r="DD1" s="8"/>
      <c r="DE1" s="8"/>
      <c r="DF1" s="8"/>
      <c r="DG1" s="8"/>
      <c r="DH1" s="8"/>
      <c r="DI1" s="8"/>
      <c r="DJ1" s="8"/>
      <c r="DK1" s="8"/>
      <c r="DL1" s="8"/>
      <c r="DM1" s="8"/>
      <c r="DN1" s="8"/>
      <c r="DO1" s="8"/>
      <c r="DP1" s="8"/>
      <c r="DQ1" s="8"/>
      <c r="DR1" s="8"/>
      <c r="DS1" s="8"/>
      <c r="DT1" s="8"/>
      <c r="DU1" s="8"/>
      <c r="DV1" s="8"/>
      <c r="DW1" s="8"/>
      <c r="DX1" s="8"/>
    </row>
    <row r="2" ht="20.1" customHeight="1">
      <c r="A2" s="27"/>
      <c r="B2" t="s" s="207">
        <v>100</v>
      </c>
      <c r="C2" t="s" s="208">
        <f>IF('2. Site Details'!D4="","Enter site name on 2. Site Details",'2. Site Details'!D4)</f>
        <v>54</v>
      </c>
      <c r="D2" s="209"/>
      <c r="E2" s="210"/>
      <c r="F2" t="s" s="211">
        <v>101</v>
      </c>
      <c r="G2" s="212"/>
      <c r="H2" s="213"/>
      <c r="I2" s="214"/>
      <c r="J2" t="s" s="215">
        <v>102</v>
      </c>
      <c r="K2" s="216"/>
      <c r="L2" s="216"/>
      <c r="M2" s="216"/>
      <c r="N2" s="217"/>
      <c r="O2" t="s" s="218">
        <v>103</v>
      </c>
      <c r="P2" s="203">
        <f>_xlfn.IFERROR(N32,"Error ▲")</f>
        <v>0</v>
      </c>
      <c r="Q2" s="33"/>
      <c r="R2" s="219"/>
      <c r="S2" s="11"/>
      <c r="T2" s="220"/>
      <c r="U2" s="11"/>
      <c r="V2" s="11"/>
      <c r="W2" s="11"/>
      <c r="X2" s="11"/>
      <c r="Y2" s="11"/>
      <c r="Z2" s="11"/>
      <c r="AA2" s="11"/>
      <c r="AB2" s="11"/>
      <c r="AC2" s="11"/>
      <c r="AD2" s="11"/>
      <c r="AE2" s="11"/>
      <c r="AF2" s="11"/>
      <c r="AG2" s="11"/>
      <c r="AH2" s="11"/>
      <c r="AI2" s="11"/>
      <c r="AJ2" s="11"/>
      <c r="AK2" s="11"/>
      <c r="AL2" s="11"/>
      <c r="AM2" s="11"/>
      <c r="AN2" s="11"/>
      <c r="AO2" s="11"/>
      <c r="AP2" s="11"/>
      <c r="AQ2" s="11"/>
      <c r="AR2" s="11"/>
      <c r="AS2" s="11"/>
      <c r="AT2" s="11"/>
      <c r="AU2" s="11"/>
      <c r="AV2" s="11"/>
      <c r="AW2" s="11"/>
      <c r="AX2" s="11"/>
      <c r="AY2" s="11"/>
      <c r="AZ2" s="11"/>
      <c r="BA2" s="11"/>
      <c r="BB2" s="11"/>
      <c r="BC2" s="11"/>
      <c r="BD2" s="11"/>
      <c r="BE2" s="11"/>
      <c r="BF2" s="11"/>
      <c r="BG2" s="11"/>
      <c r="BH2" s="11"/>
      <c r="BI2" s="11"/>
      <c r="BJ2" s="11"/>
      <c r="BK2" s="11"/>
      <c r="BL2" s="11"/>
      <c r="BM2" s="11"/>
      <c r="BN2" s="11"/>
      <c r="BO2" s="11"/>
      <c r="BP2" s="11"/>
      <c r="BQ2" s="11"/>
      <c r="BR2" s="11"/>
      <c r="BS2" s="11"/>
      <c r="BT2" s="11"/>
      <c r="BU2" s="11"/>
      <c r="BV2" s="11"/>
      <c r="BW2" s="11"/>
      <c r="BX2" s="11"/>
      <c r="BY2" s="11"/>
      <c r="BZ2" s="11"/>
      <c r="CA2" s="11"/>
      <c r="CB2" s="11"/>
      <c r="CC2" s="11"/>
      <c r="CD2" s="11"/>
      <c r="CE2" s="11"/>
      <c r="CF2" s="11"/>
      <c r="CG2" s="11"/>
      <c r="CH2" s="11"/>
      <c r="CI2" s="11"/>
      <c r="CJ2" s="11"/>
      <c r="CK2" s="11"/>
      <c r="CL2" s="11"/>
      <c r="CM2" s="11"/>
      <c r="CN2" s="11"/>
      <c r="CO2" s="11"/>
      <c r="CP2" s="11"/>
      <c r="CQ2" s="11"/>
      <c r="CR2" s="11"/>
      <c r="CS2" s="11"/>
      <c r="CT2" s="11"/>
      <c r="CU2" s="11"/>
      <c r="CV2" s="11"/>
      <c r="CW2" s="11"/>
      <c r="CX2" s="11"/>
      <c r="CY2" s="11"/>
      <c r="CZ2" s="11"/>
      <c r="DA2" s="11"/>
      <c r="DB2" s="11"/>
      <c r="DC2" s="11"/>
      <c r="DD2" s="11"/>
      <c r="DE2" s="11"/>
      <c r="DF2" s="11"/>
      <c r="DG2" s="11"/>
      <c r="DH2" s="11"/>
      <c r="DI2" s="11"/>
      <c r="DJ2" s="11"/>
      <c r="DK2" s="11"/>
      <c r="DL2" s="11"/>
      <c r="DM2" s="11"/>
      <c r="DN2" s="11"/>
      <c r="DO2" s="11"/>
      <c r="DP2" s="11"/>
      <c r="DQ2" s="11"/>
      <c r="DR2" s="11"/>
      <c r="DS2" s="11"/>
      <c r="DT2" s="11"/>
      <c r="DU2" s="11"/>
      <c r="DV2" s="11"/>
      <c r="DW2" s="11"/>
      <c r="DX2" s="11"/>
    </row>
    <row r="3" ht="20.1" customHeight="1">
      <c r="A3" s="27"/>
      <c r="B3" t="s" s="221">
        <v>23</v>
      </c>
      <c r="C3" t="s" s="222">
        <v>97</v>
      </c>
      <c r="D3" s="223"/>
      <c r="E3" s="210"/>
      <c r="F3" s="224"/>
      <c r="G3" s="225"/>
      <c r="H3" s="226"/>
      <c r="I3" s="214"/>
      <c r="J3" s="216"/>
      <c r="K3" s="216"/>
      <c r="L3" s="216"/>
      <c r="M3" s="216"/>
      <c r="N3" s="217"/>
      <c r="O3" t="s" s="218">
        <v>104</v>
      </c>
      <c r="P3" s="203">
        <f>_xlfn.IFERROR(L61,"Error ▲")</f>
        <v>0.0002375444</v>
      </c>
      <c r="Q3" s="33"/>
      <c r="R3" s="219"/>
      <c r="S3" s="11"/>
      <c r="T3" s="220"/>
      <c r="U3" s="11"/>
      <c r="V3" s="11"/>
      <c r="W3" s="11"/>
      <c r="X3" s="11"/>
      <c r="Y3" s="11"/>
      <c r="Z3" s="11"/>
      <c r="AA3" s="11"/>
      <c r="AB3" s="11"/>
      <c r="AC3" s="11"/>
      <c r="AD3" s="11"/>
      <c r="AE3" s="11"/>
      <c r="AF3" s="11"/>
      <c r="AG3" s="11"/>
      <c r="AH3" s="11"/>
      <c r="AI3" s="11"/>
      <c r="AJ3" s="11"/>
      <c r="AK3" s="11"/>
      <c r="AL3" s="11"/>
      <c r="AM3" s="11"/>
      <c r="AN3" s="11"/>
      <c r="AO3" s="11"/>
      <c r="AP3" s="11"/>
      <c r="AQ3" s="11"/>
      <c r="AR3" s="11"/>
      <c r="AS3" s="11"/>
      <c r="AT3" s="11"/>
      <c r="AU3" s="11"/>
      <c r="AV3" s="11"/>
      <c r="AW3" s="11"/>
      <c r="AX3" s="11"/>
      <c r="AY3" s="11"/>
      <c r="AZ3" s="11"/>
      <c r="BA3" s="11"/>
      <c r="BB3" s="11"/>
      <c r="BC3" s="11"/>
      <c r="BD3" s="11"/>
      <c r="BE3" s="11"/>
      <c r="BF3" s="11"/>
      <c r="BG3" s="11"/>
      <c r="BH3" s="11"/>
      <c r="BI3" s="11"/>
      <c r="BJ3" s="11"/>
      <c r="BK3" s="11"/>
      <c r="BL3" s="11"/>
      <c r="BM3" s="11"/>
      <c r="BN3" s="11"/>
      <c r="BO3" s="11"/>
      <c r="BP3" s="11"/>
      <c r="BQ3" s="11"/>
      <c r="BR3" s="11"/>
      <c r="BS3" s="11"/>
      <c r="BT3" s="11"/>
      <c r="BU3" s="11"/>
      <c r="BV3" s="11"/>
      <c r="BW3" s="11"/>
      <c r="BX3" s="11"/>
      <c r="BY3" s="11"/>
      <c r="BZ3" s="11"/>
      <c r="CA3" s="11"/>
      <c r="CB3" s="11"/>
      <c r="CC3" s="11"/>
      <c r="CD3" s="11"/>
      <c r="CE3" s="11"/>
      <c r="CF3" s="11"/>
      <c r="CG3" s="11"/>
      <c r="CH3" s="11"/>
      <c r="CI3" s="11"/>
      <c r="CJ3" s="11"/>
      <c r="CK3" s="11"/>
      <c r="CL3" s="11"/>
      <c r="CM3" s="11"/>
      <c r="CN3" s="11"/>
      <c r="CO3" s="11"/>
      <c r="CP3" s="11"/>
      <c r="CQ3" s="11"/>
      <c r="CR3" s="11"/>
      <c r="CS3" s="11"/>
      <c r="CT3" s="11"/>
      <c r="CU3" s="11"/>
      <c r="CV3" s="11"/>
      <c r="CW3" s="11"/>
      <c r="CX3" s="11"/>
      <c r="CY3" s="11"/>
      <c r="CZ3" s="11"/>
      <c r="DA3" s="11"/>
      <c r="DB3" s="11"/>
      <c r="DC3" s="11"/>
      <c r="DD3" s="11"/>
      <c r="DE3" s="11"/>
      <c r="DF3" s="11"/>
      <c r="DG3" s="11"/>
      <c r="DH3" s="11"/>
      <c r="DI3" s="11"/>
      <c r="DJ3" s="11"/>
      <c r="DK3" s="11"/>
      <c r="DL3" s="11"/>
      <c r="DM3" s="11"/>
      <c r="DN3" s="11"/>
      <c r="DO3" s="11"/>
      <c r="DP3" s="11"/>
      <c r="DQ3" s="11"/>
      <c r="DR3" s="11"/>
      <c r="DS3" s="11"/>
      <c r="DT3" s="11"/>
      <c r="DU3" s="11"/>
      <c r="DV3" s="11"/>
      <c r="DW3" s="11"/>
      <c r="DX3" s="11"/>
    </row>
    <row r="4" ht="20.1" customHeight="1">
      <c r="A4" s="10"/>
      <c r="B4" s="227"/>
      <c r="C4" s="227"/>
      <c r="D4" s="227"/>
      <c r="E4" s="228"/>
      <c r="F4" s="224"/>
      <c r="G4" s="225"/>
      <c r="H4" s="226"/>
      <c r="I4" s="214"/>
      <c r="J4" s="216"/>
      <c r="K4" s="216"/>
      <c r="L4" s="216"/>
      <c r="M4" s="216"/>
      <c r="N4" s="217"/>
      <c r="O4" t="s" s="218">
        <v>105</v>
      </c>
      <c r="P4" s="203">
        <f>_xlfn.IFERROR(L89,"Error ▲")</f>
        <v>0</v>
      </c>
      <c r="Q4" s="33"/>
      <c r="R4" s="219"/>
      <c r="S4" s="11"/>
      <c r="T4" s="220"/>
      <c r="U4" s="11"/>
      <c r="V4" s="11"/>
      <c r="W4" s="11"/>
      <c r="X4" s="11"/>
      <c r="Y4" s="11"/>
      <c r="Z4" s="11"/>
      <c r="AA4" s="11"/>
      <c r="AB4" s="11"/>
      <c r="AC4" s="11"/>
      <c r="AD4" s="11"/>
      <c r="AE4" s="11"/>
      <c r="AF4" s="11"/>
      <c r="AG4" s="11"/>
      <c r="AH4" s="11"/>
      <c r="AI4" s="11"/>
      <c r="AJ4" s="11"/>
      <c r="AK4" s="11"/>
      <c r="AL4" s="11"/>
      <c r="AM4" s="11"/>
      <c r="AN4" s="11"/>
      <c r="AO4" s="11"/>
      <c r="AP4" s="11"/>
      <c r="AQ4" s="11"/>
      <c r="AR4" s="11"/>
      <c r="AS4" s="11"/>
      <c r="AT4" s="11"/>
      <c r="AU4" s="11"/>
      <c r="AV4" s="11"/>
      <c r="AW4" s="11"/>
      <c r="AX4" s="11"/>
      <c r="AY4" s="11"/>
      <c r="AZ4" s="11"/>
      <c r="BA4" s="11"/>
      <c r="BB4" s="11"/>
      <c r="BC4" s="11"/>
      <c r="BD4" s="11"/>
      <c r="BE4" s="11"/>
      <c r="BF4" s="11"/>
      <c r="BG4" s="11"/>
      <c r="BH4" s="11"/>
      <c r="BI4" s="11"/>
      <c r="BJ4" s="11"/>
      <c r="BK4" s="11"/>
      <c r="BL4" s="11"/>
      <c r="BM4" s="11"/>
      <c r="BN4" s="11"/>
      <c r="BO4" s="11"/>
      <c r="BP4" s="11"/>
      <c r="BQ4" s="11"/>
      <c r="BR4" s="11"/>
      <c r="BS4" s="11"/>
      <c r="BT4" s="11"/>
      <c r="BU4" s="11"/>
      <c r="BV4" s="11"/>
      <c r="BW4" s="11"/>
      <c r="BX4" s="11"/>
      <c r="BY4" s="11"/>
      <c r="BZ4" s="11"/>
      <c r="CA4" s="11"/>
      <c r="CB4" s="11"/>
      <c r="CC4" s="11"/>
      <c r="CD4" s="11"/>
      <c r="CE4" s="11"/>
      <c r="CF4" s="11"/>
      <c r="CG4" s="11"/>
      <c r="CH4" s="11"/>
      <c r="CI4" s="11"/>
      <c r="CJ4" s="11"/>
      <c r="CK4" s="11"/>
      <c r="CL4" s="11"/>
      <c r="CM4" s="11"/>
      <c r="CN4" s="11"/>
      <c r="CO4" s="11"/>
      <c r="CP4" s="11"/>
      <c r="CQ4" s="11"/>
      <c r="CR4" s="11"/>
      <c r="CS4" s="11"/>
      <c r="CT4" s="11"/>
      <c r="CU4" s="11"/>
      <c r="CV4" s="11"/>
      <c r="CW4" s="11"/>
      <c r="CX4" s="11"/>
      <c r="CY4" s="11"/>
      <c r="CZ4" s="11"/>
      <c r="DA4" s="11"/>
      <c r="DB4" s="11"/>
      <c r="DC4" s="11"/>
      <c r="DD4" s="11"/>
      <c r="DE4" s="11"/>
      <c r="DF4" s="11"/>
      <c r="DG4" s="11"/>
      <c r="DH4" s="11"/>
      <c r="DI4" s="11"/>
      <c r="DJ4" s="11"/>
      <c r="DK4" s="11"/>
      <c r="DL4" s="11"/>
      <c r="DM4" s="11"/>
      <c r="DN4" s="11"/>
      <c r="DO4" s="11"/>
      <c r="DP4" s="11"/>
      <c r="DQ4" s="11"/>
      <c r="DR4" s="11"/>
      <c r="DS4" s="11"/>
      <c r="DT4" s="11"/>
      <c r="DU4" s="11"/>
      <c r="DV4" s="11"/>
      <c r="DW4" s="11"/>
      <c r="DX4" s="11"/>
    </row>
    <row r="5" ht="20.1" customHeight="1">
      <c r="A5" s="229"/>
      <c r="B5" s="11"/>
      <c r="C5" s="11"/>
      <c r="D5" s="11"/>
      <c r="E5" s="228"/>
      <c r="F5" s="224"/>
      <c r="G5" s="225"/>
      <c r="H5" s="226"/>
      <c r="I5" s="214"/>
      <c r="J5" s="216"/>
      <c r="K5" s="216"/>
      <c r="L5" s="216"/>
      <c r="M5" s="216"/>
      <c r="N5" s="217"/>
      <c r="O5" t="s" s="230">
        <v>106</v>
      </c>
      <c r="P5" s="231">
        <f>_xlfn.IFERROR((P1+L61+L89)-L32,"Error ▲")</f>
        <v>0.0002375444</v>
      </c>
      <c r="Q5" s="33"/>
      <c r="R5" s="219"/>
      <c r="S5" s="11"/>
      <c r="T5" s="220"/>
      <c r="U5" s="11"/>
      <c r="V5" s="11"/>
      <c r="W5" s="11"/>
      <c r="X5" s="11"/>
      <c r="Y5" s="11"/>
      <c r="Z5" s="11"/>
      <c r="AA5" s="11"/>
      <c r="AB5" s="11"/>
      <c r="AC5" s="11"/>
      <c r="AD5" s="11"/>
      <c r="AE5" s="11"/>
      <c r="AF5" s="11"/>
      <c r="AG5" s="11"/>
      <c r="AH5" s="11"/>
      <c r="AI5" s="11"/>
      <c r="AJ5" s="11"/>
      <c r="AK5" s="11"/>
      <c r="AL5" s="11"/>
      <c r="AM5" s="11"/>
      <c r="AN5" s="11"/>
      <c r="AO5" s="11"/>
      <c r="AP5" s="11"/>
      <c r="AQ5" s="11"/>
      <c r="AR5" s="11"/>
      <c r="AS5" s="11"/>
      <c r="AT5" s="11"/>
      <c r="AU5" s="11"/>
      <c r="AV5" s="11"/>
      <c r="AW5" s="11"/>
      <c r="AX5" s="11"/>
      <c r="AY5" s="11"/>
      <c r="AZ5" s="11"/>
      <c r="BA5" s="11"/>
      <c r="BB5" s="11"/>
      <c r="BC5" s="11"/>
      <c r="BD5" s="11"/>
      <c r="BE5" s="11"/>
      <c r="BF5" s="11"/>
      <c r="BG5" s="11"/>
      <c r="BH5" s="11"/>
      <c r="BI5" s="11"/>
      <c r="BJ5" s="11"/>
      <c r="BK5" s="11"/>
      <c r="BL5" s="11"/>
      <c r="BM5" s="11"/>
      <c r="BN5" s="11"/>
      <c r="BO5" s="11"/>
      <c r="BP5" s="11"/>
      <c r="BQ5" s="11"/>
      <c r="BR5" s="11"/>
      <c r="BS5" s="11"/>
      <c r="BT5" s="11"/>
      <c r="BU5" s="11"/>
      <c r="BV5" s="11"/>
      <c r="BW5" s="11"/>
      <c r="BX5" s="11"/>
      <c r="BY5" s="11"/>
      <c r="BZ5" s="11"/>
      <c r="CA5" s="11"/>
      <c r="CB5" s="11"/>
      <c r="CC5" s="11"/>
      <c r="CD5" s="11"/>
      <c r="CE5" s="11"/>
      <c r="CF5" s="11"/>
      <c r="CG5" s="11"/>
      <c r="CH5" s="11"/>
      <c r="CI5" s="11"/>
      <c r="CJ5" s="11"/>
      <c r="CK5" s="11"/>
      <c r="CL5" s="11"/>
      <c r="CM5" s="11"/>
      <c r="CN5" s="11"/>
      <c r="CO5" s="11"/>
      <c r="CP5" s="11"/>
      <c r="CQ5" s="11"/>
      <c r="CR5" s="11"/>
      <c r="CS5" s="11"/>
      <c r="CT5" s="11"/>
      <c r="CU5" s="11"/>
      <c r="CV5" s="11"/>
      <c r="CW5" s="11"/>
      <c r="CX5" s="11"/>
      <c r="CY5" s="11"/>
      <c r="CZ5" s="11"/>
      <c r="DA5" s="11"/>
      <c r="DB5" s="11"/>
      <c r="DC5" s="11"/>
      <c r="DD5" s="11"/>
      <c r="DE5" s="11"/>
      <c r="DF5" s="11"/>
      <c r="DG5" s="11"/>
      <c r="DH5" s="11"/>
      <c r="DI5" s="11"/>
      <c r="DJ5" s="11"/>
      <c r="DK5" s="11"/>
      <c r="DL5" s="11"/>
      <c r="DM5" s="11"/>
      <c r="DN5" s="11"/>
      <c r="DO5" s="11"/>
      <c r="DP5" s="11"/>
      <c r="DQ5" s="11"/>
      <c r="DR5" s="11"/>
      <c r="DS5" s="11"/>
      <c r="DT5" s="11"/>
      <c r="DU5" s="11"/>
      <c r="DV5" s="11"/>
      <c r="DW5" s="11"/>
      <c r="DX5" s="11"/>
    </row>
    <row r="6" ht="13.35" customHeight="1">
      <c r="A6" s="229"/>
      <c r="B6" s="11"/>
      <c r="C6" s="11"/>
      <c r="D6" s="11"/>
      <c r="E6" s="228"/>
      <c r="F6" s="232"/>
      <c r="G6" s="233"/>
      <c r="H6" s="234"/>
      <c r="I6" s="235"/>
      <c r="J6" s="236"/>
      <c r="K6" s="236"/>
      <c r="L6" s="236"/>
      <c r="M6" s="236"/>
      <c r="N6" s="236"/>
      <c r="O6" s="237"/>
      <c r="P6" s="237"/>
      <c r="Q6" s="11"/>
      <c r="R6" s="219"/>
      <c r="S6" s="11"/>
      <c r="T6" s="220"/>
      <c r="U6" s="11"/>
      <c r="V6" s="11"/>
      <c r="W6" s="11"/>
      <c r="X6" s="11"/>
      <c r="Y6" s="11"/>
      <c r="Z6" s="11"/>
      <c r="AA6" s="11"/>
      <c r="AB6" s="11"/>
      <c r="AC6" s="11"/>
      <c r="AD6" s="11"/>
      <c r="AE6" s="11"/>
      <c r="AF6" s="11"/>
      <c r="AG6" s="11"/>
      <c r="AH6" s="11"/>
      <c r="AI6" s="11"/>
      <c r="AJ6" s="11"/>
      <c r="AK6" s="11"/>
      <c r="AL6" s="11"/>
      <c r="AM6" s="11"/>
      <c r="AN6" s="11"/>
      <c r="AO6" s="11"/>
      <c r="AP6" s="11"/>
      <c r="AQ6" s="11"/>
      <c r="AR6" s="11"/>
      <c r="AS6" s="11"/>
      <c r="AT6" s="11"/>
      <c r="AU6" s="11"/>
      <c r="AV6" s="11"/>
      <c r="AW6" s="11"/>
      <c r="AX6" s="11"/>
      <c r="AY6" s="11"/>
      <c r="AZ6" s="11"/>
      <c r="BA6" s="11"/>
      <c r="BB6" s="11"/>
      <c r="BC6" s="11"/>
      <c r="BD6" s="11"/>
      <c r="BE6" s="11"/>
      <c r="BF6" s="11"/>
      <c r="BG6" s="11"/>
      <c r="BH6" s="11"/>
      <c r="BI6" s="11"/>
      <c r="BJ6" s="11"/>
      <c r="BK6" s="11"/>
      <c r="BL6" s="11"/>
      <c r="BM6" s="11"/>
      <c r="BN6" s="11"/>
      <c r="BO6" s="11"/>
      <c r="BP6" s="11"/>
      <c r="BQ6" s="11"/>
      <c r="BR6" s="11"/>
      <c r="BS6" s="11"/>
      <c r="BT6" s="11"/>
      <c r="BU6" s="11"/>
      <c r="BV6" s="11"/>
      <c r="BW6" s="11"/>
      <c r="BX6" s="11"/>
      <c r="BY6" s="11"/>
      <c r="BZ6" s="11"/>
      <c r="CA6" s="11"/>
      <c r="CB6" s="11"/>
      <c r="CC6" s="11"/>
      <c r="CD6" s="11"/>
      <c r="CE6" s="11"/>
      <c r="CF6" s="11"/>
      <c r="CG6" s="11"/>
      <c r="CH6" s="11"/>
      <c r="CI6" s="11"/>
      <c r="CJ6" s="11"/>
      <c r="CK6" s="11"/>
      <c r="CL6" s="11"/>
      <c r="CM6" s="11"/>
      <c r="CN6" s="11"/>
      <c r="CO6" s="11"/>
      <c r="CP6" s="11"/>
      <c r="CQ6" s="11"/>
      <c r="CR6" s="11"/>
      <c r="CS6" s="11"/>
      <c r="CT6" s="11"/>
      <c r="CU6" s="11"/>
      <c r="CV6" s="11"/>
      <c r="CW6" s="11"/>
      <c r="CX6" s="11"/>
      <c r="CY6" s="11"/>
      <c r="CZ6" s="11"/>
      <c r="DA6" s="11"/>
      <c r="DB6" s="11"/>
      <c r="DC6" s="11"/>
      <c r="DD6" s="11"/>
      <c r="DE6" s="11"/>
      <c r="DF6" s="11"/>
      <c r="DG6" s="11"/>
      <c r="DH6" s="11"/>
      <c r="DI6" s="11"/>
      <c r="DJ6" s="11"/>
      <c r="DK6" s="11"/>
      <c r="DL6" s="11"/>
      <c r="DM6" s="11"/>
      <c r="DN6" s="11"/>
      <c r="DO6" s="11"/>
      <c r="DP6" s="11"/>
      <c r="DQ6" s="11"/>
      <c r="DR6" s="11"/>
      <c r="DS6" s="11"/>
      <c r="DT6" s="11"/>
      <c r="DU6" s="11"/>
      <c r="DV6" s="11"/>
      <c r="DW6" s="11"/>
      <c r="DX6" s="11"/>
    </row>
    <row r="7" ht="19.35" customHeight="1">
      <c r="A7" s="10"/>
      <c r="B7" t="s" s="173">
        <v>107</v>
      </c>
      <c r="C7" s="11"/>
      <c r="D7" s="238"/>
      <c r="E7" s="11"/>
      <c r="F7" s="71"/>
      <c r="G7" s="71"/>
      <c r="H7" s="239"/>
      <c r="I7" s="11"/>
      <c r="J7" s="11"/>
      <c r="K7" s="220"/>
      <c r="L7" s="240"/>
      <c r="M7" s="240"/>
      <c r="N7" s="240"/>
      <c r="O7" s="11"/>
      <c r="P7" s="11"/>
      <c r="Q7" s="11"/>
      <c r="R7" s="219"/>
      <c r="S7" s="11"/>
      <c r="T7" s="220"/>
      <c r="U7" s="11"/>
      <c r="V7" s="11"/>
      <c r="W7" s="11"/>
      <c r="X7" s="11"/>
      <c r="Y7" s="11"/>
      <c r="Z7" s="11"/>
      <c r="AA7" s="11"/>
      <c r="AB7" s="11"/>
      <c r="AC7" s="11"/>
      <c r="AD7" s="11"/>
      <c r="AE7" s="11"/>
      <c r="AF7" s="11"/>
      <c r="AG7" s="11"/>
      <c r="AH7" s="11"/>
      <c r="AI7" s="11"/>
      <c r="AJ7" s="11"/>
      <c r="AK7" s="11"/>
      <c r="AL7" s="11"/>
      <c r="AM7" s="11"/>
      <c r="AN7" s="11"/>
      <c r="AO7" s="11"/>
      <c r="AP7" s="11"/>
      <c r="AQ7" s="11"/>
      <c r="AR7" s="11"/>
      <c r="AS7" s="11"/>
      <c r="AT7" s="11"/>
      <c r="AU7" s="11"/>
      <c r="AV7" s="11"/>
      <c r="AW7" s="11"/>
      <c r="AX7" s="11"/>
      <c r="AY7" s="11"/>
      <c r="AZ7" s="11"/>
      <c r="BA7" s="11"/>
      <c r="BB7" s="11"/>
      <c r="BC7" s="11"/>
      <c r="BD7" s="11"/>
      <c r="BE7" s="11"/>
      <c r="BF7" s="11"/>
      <c r="BG7" s="11"/>
      <c r="BH7" s="11"/>
      <c r="BI7" s="11"/>
      <c r="BJ7" s="11"/>
      <c r="BK7" s="11"/>
      <c r="BL7" s="11"/>
      <c r="BM7" s="11"/>
      <c r="BN7" s="11"/>
      <c r="BO7" s="11"/>
      <c r="BP7" s="11"/>
      <c r="BQ7" s="11"/>
      <c r="BR7" s="11"/>
      <c r="BS7" s="11"/>
      <c r="BT7" s="11"/>
      <c r="BU7" s="11"/>
      <c r="BV7" s="11"/>
      <c r="BW7" s="11"/>
      <c r="BX7" s="11"/>
      <c r="BY7" s="11"/>
      <c r="BZ7" s="11"/>
      <c r="CA7" s="11"/>
      <c r="CB7" s="11"/>
      <c r="CC7" s="11"/>
      <c r="CD7" s="11"/>
      <c r="CE7" s="11"/>
      <c r="CF7" s="11"/>
      <c r="CG7" s="11"/>
      <c r="CH7" s="11"/>
      <c r="CI7" s="11"/>
      <c r="CJ7" s="11"/>
      <c r="CK7" s="11"/>
      <c r="CL7" s="11"/>
      <c r="CM7" s="11"/>
      <c r="CN7" s="11"/>
      <c r="CO7" s="11"/>
      <c r="CP7" s="11"/>
      <c r="CQ7" s="11"/>
      <c r="CR7" s="11"/>
      <c r="CS7" s="11"/>
      <c r="CT7" s="11"/>
      <c r="CU7" s="11"/>
      <c r="CV7" s="11"/>
      <c r="CW7" s="11"/>
      <c r="CX7" s="11"/>
      <c r="CY7" s="11"/>
      <c r="CZ7" s="11"/>
      <c r="DA7" s="11"/>
      <c r="DB7" s="11"/>
      <c r="DC7" s="11"/>
      <c r="DD7" s="11"/>
      <c r="DE7" s="11"/>
      <c r="DF7" s="11"/>
      <c r="DG7" s="11"/>
      <c r="DH7" s="11"/>
      <c r="DI7" s="11"/>
      <c r="DJ7" s="11"/>
      <c r="DK7" s="11"/>
      <c r="DL7" s="11"/>
      <c r="DM7" s="11"/>
      <c r="DN7" s="11"/>
      <c r="DO7" s="11"/>
      <c r="DP7" s="11"/>
      <c r="DQ7" s="11"/>
      <c r="DR7" s="11"/>
      <c r="DS7" s="11"/>
      <c r="DT7" s="11"/>
      <c r="DU7" s="11"/>
      <c r="DV7" s="11"/>
      <c r="DW7" s="11"/>
      <c r="DX7" s="11"/>
    </row>
    <row r="8" ht="11.1" customHeight="1">
      <c r="A8" s="241"/>
      <c r="B8" s="26"/>
      <c r="C8" s="26"/>
      <c r="D8" s="26"/>
      <c r="E8" s="26"/>
      <c r="F8" s="26"/>
      <c r="G8" s="26"/>
      <c r="H8" s="26"/>
      <c r="I8" s="26"/>
      <c r="J8" s="26"/>
      <c r="K8" s="26"/>
      <c r="L8" s="26"/>
      <c r="M8" s="26"/>
      <c r="N8" s="26"/>
      <c r="O8" s="26"/>
      <c r="P8" s="26"/>
      <c r="Q8" s="11"/>
      <c r="R8" s="219"/>
      <c r="S8" s="11"/>
      <c r="T8" s="26"/>
      <c r="U8" s="26"/>
      <c r="V8" s="26"/>
      <c r="W8" s="26"/>
      <c r="X8" s="26"/>
      <c r="Y8" s="11"/>
      <c r="Z8" s="11"/>
      <c r="AA8" s="11"/>
      <c r="AB8" s="26"/>
      <c r="AC8" s="26"/>
      <c r="AD8" s="26"/>
      <c r="AE8" s="26"/>
      <c r="AF8" s="26"/>
      <c r="AG8" s="26"/>
      <c r="AH8" s="26"/>
      <c r="AI8" s="26"/>
      <c r="AJ8" s="11"/>
      <c r="AK8" s="11"/>
      <c r="AL8" s="11"/>
      <c r="AM8" s="11"/>
      <c r="AN8" s="11"/>
      <c r="AO8" s="11"/>
      <c r="AP8" s="11"/>
      <c r="AQ8" s="11"/>
      <c r="AR8" s="11"/>
      <c r="AS8" s="11"/>
      <c r="AT8" s="11"/>
      <c r="AU8" s="11"/>
      <c r="AV8" s="11"/>
      <c r="AW8" s="11"/>
      <c r="AX8" s="11"/>
      <c r="AY8" s="11"/>
      <c r="AZ8" s="11"/>
      <c r="BA8" s="11"/>
      <c r="BB8" s="11"/>
      <c r="BC8" s="11"/>
      <c r="BD8" s="11"/>
      <c r="BE8" s="11"/>
      <c r="BF8" s="11"/>
      <c r="BG8" s="11"/>
      <c r="BH8" s="11"/>
      <c r="BI8" s="11"/>
      <c r="BJ8" s="11"/>
      <c r="BK8" s="11"/>
      <c r="BL8" s="11"/>
      <c r="BM8" s="11"/>
      <c r="BN8" s="11"/>
      <c r="BO8" s="11"/>
      <c r="BP8" s="11"/>
      <c r="BQ8" s="11"/>
      <c r="BR8" s="11"/>
      <c r="BS8" s="11"/>
      <c r="BT8" s="11"/>
      <c r="BU8" s="11"/>
      <c r="BV8" s="11"/>
      <c r="BW8" s="11"/>
      <c r="BX8" s="11"/>
      <c r="BY8" s="11"/>
      <c r="BZ8" s="11"/>
      <c r="CA8" s="11"/>
      <c r="CB8" s="11"/>
      <c r="CC8" s="11"/>
      <c r="CD8" s="11"/>
      <c r="CE8" s="11"/>
      <c r="CF8" s="11"/>
      <c r="CG8" s="11"/>
      <c r="CH8" s="11"/>
      <c r="CI8" s="11"/>
      <c r="CJ8" s="11"/>
      <c r="CK8" s="11"/>
      <c r="CL8" s="11"/>
      <c r="CM8" s="11"/>
      <c r="CN8" s="11"/>
      <c r="CO8" s="11"/>
      <c r="CP8" s="11"/>
      <c r="CQ8" s="11"/>
      <c r="CR8" s="11"/>
      <c r="CS8" s="11"/>
      <c r="CT8" s="11"/>
      <c r="CU8" s="11"/>
      <c r="CV8" s="11"/>
      <c r="CW8" s="11"/>
      <c r="CX8" s="11"/>
      <c r="CY8" s="11"/>
      <c r="CZ8" s="11"/>
      <c r="DA8" s="11"/>
      <c r="DB8" s="11"/>
      <c r="DC8" s="11"/>
      <c r="DD8" s="11"/>
      <c r="DE8" s="11"/>
      <c r="DF8" s="11"/>
      <c r="DG8" s="11"/>
      <c r="DH8" s="11"/>
      <c r="DI8" s="11"/>
      <c r="DJ8" s="11"/>
      <c r="DK8" s="11"/>
      <c r="DL8" s="11"/>
      <c r="DM8" s="11"/>
      <c r="DN8" s="11"/>
      <c r="DO8" s="11"/>
      <c r="DP8" s="11"/>
      <c r="DQ8" s="11"/>
      <c r="DR8" s="11"/>
      <c r="DS8" s="11"/>
      <c r="DT8" s="11"/>
      <c r="DU8" s="11"/>
      <c r="DV8" s="11"/>
      <c r="DW8" s="11"/>
      <c r="DX8" s="11"/>
    </row>
    <row r="9" ht="29.45" customHeight="1">
      <c r="A9" s="242"/>
      <c r="B9" t="s" s="243">
        <v>89</v>
      </c>
      <c r="C9" t="s" s="202">
        <v>108</v>
      </c>
      <c r="D9" s="244"/>
      <c r="E9" s="245"/>
      <c r="F9" t="s" s="246">
        <v>109</v>
      </c>
      <c r="G9" s="247"/>
      <c r="H9" s="248"/>
      <c r="I9" t="s" s="202">
        <v>110</v>
      </c>
      <c r="J9" s="244"/>
      <c r="K9" s="245"/>
      <c r="L9" t="s" s="249">
        <v>111</v>
      </c>
      <c r="M9" s="250"/>
      <c r="N9" s="251"/>
      <c r="O9" t="s" s="249">
        <v>112</v>
      </c>
      <c r="P9" s="251"/>
      <c r="Q9" s="33"/>
      <c r="R9" s="219"/>
      <c r="S9" s="228"/>
      <c r="T9" t="s" s="252">
        <v>113</v>
      </c>
      <c r="U9" s="253"/>
      <c r="V9" s="254"/>
      <c r="W9" t="s" s="252">
        <v>114</v>
      </c>
      <c r="X9" s="254"/>
      <c r="Y9" s="255"/>
      <c r="Z9" s="256"/>
      <c r="AA9" s="257"/>
      <c r="AB9" t="s" s="252">
        <v>115</v>
      </c>
      <c r="AC9" s="253"/>
      <c r="AD9" s="254"/>
      <c r="AE9" t="s" s="252">
        <v>116</v>
      </c>
      <c r="AF9" s="253"/>
      <c r="AG9" s="254"/>
      <c r="AH9" t="s" s="258">
        <v>117</v>
      </c>
      <c r="AI9" t="s" s="258">
        <v>118</v>
      </c>
      <c r="AJ9" s="33"/>
      <c r="AK9" s="11"/>
      <c r="AL9" s="11"/>
      <c r="AM9" s="11"/>
      <c r="AN9" s="11"/>
      <c r="AO9" s="11"/>
      <c r="AP9" s="11"/>
      <c r="AQ9" s="11"/>
      <c r="AR9" s="11"/>
      <c r="AS9" s="11"/>
      <c r="AT9" s="11"/>
      <c r="AU9" s="11"/>
      <c r="AV9" s="11"/>
      <c r="AW9" s="11"/>
      <c r="AX9" s="11"/>
      <c r="AY9" s="11"/>
      <c r="AZ9" s="11"/>
      <c r="BA9" s="11"/>
      <c r="BB9" s="11"/>
      <c r="BC9" s="11"/>
      <c r="BD9" s="11"/>
      <c r="BE9" s="11"/>
      <c r="BF9" s="11"/>
      <c r="BG9" s="11"/>
      <c r="BH9" s="11"/>
      <c r="BI9" s="11"/>
      <c r="BJ9" s="11"/>
      <c r="BK9" s="11"/>
      <c r="BL9" s="11"/>
      <c r="BM9" s="11"/>
      <c r="BN9" s="11"/>
      <c r="BO9" s="11"/>
      <c r="BP9" s="11"/>
      <c r="BQ9" s="11"/>
      <c r="BR9" s="11"/>
      <c r="BS9" s="11"/>
      <c r="BT9" s="11"/>
      <c r="BU9" s="11"/>
      <c r="BV9" s="11"/>
      <c r="BW9" s="11"/>
      <c r="BX9" s="11"/>
      <c r="BY9" s="11"/>
      <c r="BZ9" s="11"/>
      <c r="CA9" s="11"/>
      <c r="CB9" s="11"/>
      <c r="CC9" s="11"/>
      <c r="CD9" s="11"/>
      <c r="CE9" s="11"/>
      <c r="CF9" s="11"/>
      <c r="CG9" s="11"/>
      <c r="CH9" s="11"/>
      <c r="CI9" s="11"/>
      <c r="CJ9" s="11"/>
      <c r="CK9" s="11"/>
      <c r="CL9" s="11"/>
      <c r="CM9" s="11"/>
      <c r="CN9" s="11"/>
      <c r="CO9" s="11"/>
      <c r="CP9" s="11"/>
      <c r="CQ9" s="11"/>
      <c r="CR9" s="11"/>
      <c r="CS9" s="11"/>
      <c r="CT9" s="11"/>
      <c r="CU9" s="11"/>
      <c r="CV9" s="11"/>
      <c r="CW9" s="11"/>
      <c r="CX9" s="11"/>
      <c r="CY9" s="11"/>
      <c r="CZ9" s="11"/>
      <c r="DA9" s="11"/>
      <c r="DB9" s="11"/>
      <c r="DC9" s="11"/>
      <c r="DD9" s="11"/>
      <c r="DE9" s="11"/>
      <c r="DF9" s="11"/>
      <c r="DG9" s="11"/>
      <c r="DH9" s="11"/>
      <c r="DI9" s="11"/>
      <c r="DJ9" s="11"/>
      <c r="DK9" s="11"/>
      <c r="DL9" s="11"/>
      <c r="DM9" s="11"/>
      <c r="DN9" s="11"/>
      <c r="DO9" s="11"/>
      <c r="DP9" s="11"/>
      <c r="DQ9" s="11"/>
      <c r="DR9" s="11"/>
      <c r="DS9" s="11"/>
      <c r="DT9" s="11"/>
      <c r="DU9" s="11"/>
      <c r="DV9" s="11"/>
      <c r="DW9" s="11"/>
      <c r="DX9" s="11"/>
    </row>
    <row r="10" ht="31.5" customHeight="1">
      <c r="A10" s="242"/>
      <c r="B10" s="259"/>
      <c r="C10" t="s" s="230">
        <v>119</v>
      </c>
      <c r="D10" t="s" s="260">
        <v>120</v>
      </c>
      <c r="E10" s="261"/>
      <c r="F10" s="262"/>
      <c r="G10" s="263"/>
      <c r="H10" s="264"/>
      <c r="I10" t="s" s="230">
        <v>121</v>
      </c>
      <c r="J10" t="s" s="265">
        <v>122</v>
      </c>
      <c r="K10" t="s" s="266">
        <v>123</v>
      </c>
      <c r="L10" t="s" s="230">
        <v>124</v>
      </c>
      <c r="M10" t="s" s="265">
        <v>125</v>
      </c>
      <c r="N10" t="s" s="266">
        <v>126</v>
      </c>
      <c r="O10" t="s" s="230">
        <v>127</v>
      </c>
      <c r="P10" t="s" s="266">
        <v>128</v>
      </c>
      <c r="Q10" s="33"/>
      <c r="R10" s="219"/>
      <c r="S10" s="228"/>
      <c r="T10" t="s" s="267">
        <v>129</v>
      </c>
      <c r="U10" s="268"/>
      <c r="V10" t="s" s="269">
        <v>130</v>
      </c>
      <c r="W10" t="s" s="267">
        <v>131</v>
      </c>
      <c r="X10" t="s" s="269">
        <v>130</v>
      </c>
      <c r="Y10" s="255"/>
      <c r="Z10" s="256"/>
      <c r="AA10" s="257"/>
      <c r="AB10" t="s" s="267">
        <v>115</v>
      </c>
      <c r="AC10" t="s" s="270">
        <v>115</v>
      </c>
      <c r="AD10" t="s" s="269">
        <v>132</v>
      </c>
      <c r="AE10" t="s" s="267">
        <v>133</v>
      </c>
      <c r="AF10" t="s" s="270">
        <v>134</v>
      </c>
      <c r="AG10" t="s" s="269">
        <v>135</v>
      </c>
      <c r="AH10" s="271"/>
      <c r="AI10" s="271"/>
      <c r="AJ10" s="33"/>
      <c r="AK10" s="11"/>
      <c r="AL10" s="11"/>
      <c r="AM10" s="11"/>
      <c r="AN10" s="11"/>
      <c r="AO10" s="11"/>
      <c r="AP10" s="11"/>
      <c r="AQ10" s="11"/>
      <c r="AR10" s="11"/>
      <c r="AS10" s="11"/>
      <c r="AT10" s="11"/>
      <c r="AU10" s="11"/>
      <c r="AV10" s="11"/>
      <c r="AW10" s="11"/>
      <c r="AX10" s="11"/>
      <c r="AY10" s="11"/>
      <c r="AZ10" s="11"/>
      <c r="BA10" s="11"/>
      <c r="BB10" s="11"/>
      <c r="BC10" s="11"/>
      <c r="BD10" s="11"/>
      <c r="BE10" s="11"/>
      <c r="BF10" s="11"/>
      <c r="BG10" s="11"/>
      <c r="BH10" s="11"/>
      <c r="BI10" s="11"/>
      <c r="BJ10" s="11"/>
      <c r="BK10" s="11"/>
      <c r="BL10" s="11"/>
      <c r="BM10" s="11"/>
      <c r="BN10" s="11"/>
      <c r="BO10" s="11"/>
      <c r="BP10" s="11"/>
      <c r="BQ10" s="11"/>
      <c r="BR10" s="11"/>
      <c r="BS10" s="11"/>
      <c r="BT10" s="11"/>
      <c r="BU10" s="11"/>
      <c r="BV10" s="11"/>
      <c r="BW10" s="11"/>
      <c r="BX10" s="11"/>
      <c r="BY10" s="11"/>
      <c r="BZ10" s="11"/>
      <c r="CA10" s="11"/>
      <c r="CB10" s="11"/>
      <c r="CC10" s="11"/>
      <c r="CD10" s="11"/>
      <c r="CE10" s="11"/>
      <c r="CF10" s="11"/>
      <c r="CG10" s="11"/>
      <c r="CH10" s="11"/>
      <c r="CI10" s="11"/>
      <c r="CJ10" s="11"/>
      <c r="CK10" s="11"/>
      <c r="CL10" s="11"/>
      <c r="CM10" s="11"/>
      <c r="CN10" s="11"/>
      <c r="CO10" s="11"/>
      <c r="CP10" s="11"/>
      <c r="CQ10" s="11"/>
      <c r="CR10" s="11"/>
      <c r="CS10" s="11"/>
      <c r="CT10" s="11"/>
      <c r="CU10" s="11"/>
      <c r="CV10" s="11"/>
      <c r="CW10" s="11"/>
      <c r="CX10" s="11"/>
      <c r="CY10" s="11"/>
      <c r="CZ10" s="11"/>
      <c r="DA10" s="11"/>
      <c r="DB10" s="11"/>
      <c r="DC10" s="11"/>
      <c r="DD10" s="11"/>
      <c r="DE10" s="11"/>
      <c r="DF10" s="11"/>
      <c r="DG10" s="11"/>
      <c r="DH10" s="11"/>
      <c r="DI10" s="11"/>
      <c r="DJ10" s="11"/>
      <c r="DK10" s="11"/>
      <c r="DL10" s="11"/>
      <c r="DM10" s="11"/>
      <c r="DN10" s="11"/>
      <c r="DO10" s="11"/>
      <c r="DP10" s="11"/>
      <c r="DQ10" s="11"/>
      <c r="DR10" s="11"/>
      <c r="DS10" s="11"/>
      <c r="DT10" s="11"/>
      <c r="DU10" s="11"/>
      <c r="DV10" s="11"/>
      <c r="DW10" s="11"/>
      <c r="DX10" s="11"/>
    </row>
    <row r="11" ht="15.6" customHeight="1">
      <c r="A11" s="242"/>
      <c r="B11" s="272">
        <v>1</v>
      </c>
      <c r="C11" t="s" s="273">
        <v>136</v>
      </c>
      <c r="D11" t="s" s="274">
        <v>137</v>
      </c>
      <c r="E11" s="275"/>
      <c r="F11" t="s" s="276">
        <v>138</v>
      </c>
      <c r="G11" s="277"/>
      <c r="H11" s="278"/>
      <c r="I11" s="279">
        <v>86.0989</v>
      </c>
      <c r="J11" s="280">
        <v>15.4775</v>
      </c>
      <c r="K11" s="280">
        <v>0</v>
      </c>
      <c r="L11" s="281">
        <f>IF(C11="","",_xlfn.IFERROR(IF(I11="","",((I11/10000)*V11*X11)*AD11),"Error ▲"))</f>
        <v>0</v>
      </c>
      <c r="M11" s="281">
        <f>IF(I11="","",IF(J11+K11&gt;I11,"Area Error ▲",I11-J11-K11))</f>
        <v>70.62139999999999</v>
      </c>
      <c r="N11" s="282">
        <f>_xlfn.IFERROR(IF(I11="","",IF(M11="Area Error ▲","Area Error ▲",((M11/10000)*V11*X11)*AD11)),"This intervention is not permitted within the SSM ▲")</f>
        <v>0</v>
      </c>
      <c r="O11" s="283"/>
      <c r="P11" s="284"/>
      <c r="Q11" s="33"/>
      <c r="R11" s="219"/>
      <c r="S11" s="228"/>
      <c r="T11" t="s" s="285">
        <f>IF(C11="","",VLOOKUP(D11,'9. All Habitats + Multipliers'!$C$4:$K$102,5,FALSE))</f>
        <v>139</v>
      </c>
      <c r="U11" s="286"/>
      <c r="V11" s="287">
        <f>IF(T11="","",VLOOKUP(T11,'11. Lists'!$B$47:$D$49,2,FALSE))</f>
        <v>0</v>
      </c>
      <c r="W11" t="s" s="285">
        <f>IF(C11="","",VLOOKUP(D11,'10. Condition and Temporal'!$B$6:$C$103,2,FALSE))</f>
        <v>140</v>
      </c>
      <c r="X11" s="287">
        <f>IF(W11="","",VLOOKUP(W11,'11. Lists'!$F$47:$G$51,2,FALSE))</f>
        <v>0</v>
      </c>
      <c r="Y11" s="288"/>
      <c r="Z11" s="289"/>
      <c r="AA11" s="290"/>
      <c r="AB11" t="s" s="285">
        <f>IF(F11="","",F11)</f>
        <v>141</v>
      </c>
      <c r="AC11" t="s" s="291">
        <f>IF(AB11="","",VLOOKUP(AB11,'11. Lists'!$F$36:$H$38,2,FALSE))</f>
        <v>142</v>
      </c>
      <c r="AD11" s="287">
        <f>IF(AB11="","",VLOOKUP(AB11,'11. Lists'!$F$36:$H$38,3,FALSE))</f>
        <v>1</v>
      </c>
      <c r="AE11" s="292">
        <f>IF(D11="","",((J11/10000)*V11*X11)*AD11)</f>
        <v>0</v>
      </c>
      <c r="AF11" s="293">
        <f>IF(D11="","",((K11/10000)*V11*X11)*AD11)</f>
        <v>0</v>
      </c>
      <c r="AG11" s="294">
        <f>IF(D11="","",M11)</f>
        <v>70.62139999999999</v>
      </c>
      <c r="AH11" t="s" s="295">
        <f>IF(T11="","",VLOOKUP(T11,'11. Lists'!$B$47:$D$49,3,FALSE))</f>
        <v>143</v>
      </c>
      <c r="AI11" t="s" s="295">
        <f>IF(D11="","",VLOOKUP(D11,'10. Condition and Temporal'!$B$6:$L$103,4,FALSE))</f>
        <v>144</v>
      </c>
      <c r="AJ11" s="33"/>
      <c r="AK11" s="11"/>
      <c r="AL11" s="11"/>
      <c r="AM11" s="11"/>
      <c r="AN11" s="11"/>
      <c r="AO11" s="11"/>
      <c r="AP11" s="11"/>
      <c r="AQ11" s="11"/>
      <c r="AR11" s="11"/>
      <c r="AS11" s="11"/>
      <c r="AT11" s="11"/>
      <c r="AU11" s="11"/>
      <c r="AV11" s="11"/>
      <c r="AW11" s="11"/>
      <c r="AX11" s="11"/>
      <c r="AY11" s="11"/>
      <c r="AZ11" s="11"/>
      <c r="BA11" s="11"/>
      <c r="BB11" s="11"/>
      <c r="BC11" s="11"/>
      <c r="BD11" s="11"/>
      <c r="BE11" s="11"/>
      <c r="BF11" s="11"/>
      <c r="BG11" s="11"/>
      <c r="BH11" s="11"/>
      <c r="BI11" s="11"/>
      <c r="BJ11" s="11"/>
      <c r="BK11" s="11"/>
      <c r="BL11" s="11"/>
      <c r="BM11" s="11"/>
      <c r="BN11" s="11"/>
      <c r="BO11" s="11"/>
      <c r="BP11" s="11"/>
      <c r="BQ11" s="11"/>
      <c r="BR11" s="11"/>
      <c r="BS11" s="11"/>
      <c r="BT11" s="11"/>
      <c r="BU11" s="11"/>
      <c r="BV11" s="11"/>
      <c r="BW11" s="11"/>
      <c r="BX11" s="11"/>
      <c r="BY11" s="11"/>
      <c r="BZ11" s="11"/>
      <c r="CA11" s="11"/>
      <c r="CB11" s="11"/>
      <c r="CC11" s="11"/>
      <c r="CD11" s="11"/>
      <c r="CE11" s="11"/>
      <c r="CF11" s="11"/>
      <c r="CG11" s="11"/>
      <c r="CH11" s="11"/>
      <c r="CI11" s="11"/>
      <c r="CJ11" s="11"/>
      <c r="CK11" s="11"/>
      <c r="CL11" s="11"/>
      <c r="CM11" s="11"/>
      <c r="CN11" s="11"/>
      <c r="CO11" s="11"/>
      <c r="CP11" s="11"/>
      <c r="CQ11" s="11"/>
      <c r="CR11" s="11"/>
      <c r="CS11" s="11"/>
      <c r="CT11" s="11"/>
      <c r="CU11" s="11"/>
      <c r="CV11" s="11"/>
      <c r="CW11" s="11"/>
      <c r="CX11" s="11"/>
      <c r="CY11" s="11"/>
      <c r="CZ11" s="11"/>
      <c r="DA11" s="11"/>
      <c r="DB11" s="11"/>
      <c r="DC11" s="11"/>
      <c r="DD11" s="11"/>
      <c r="DE11" s="11"/>
      <c r="DF11" s="11"/>
      <c r="DG11" s="11"/>
      <c r="DH11" s="11"/>
      <c r="DI11" s="11"/>
      <c r="DJ11" s="11"/>
      <c r="DK11" s="11"/>
      <c r="DL11" s="11"/>
      <c r="DM11" s="11"/>
      <c r="DN11" s="11"/>
      <c r="DO11" s="11"/>
      <c r="DP11" s="11"/>
      <c r="DQ11" s="11"/>
      <c r="DR11" s="11"/>
      <c r="DS11" s="11"/>
      <c r="DT11" s="11"/>
      <c r="DU11" s="11"/>
      <c r="DV11" s="11"/>
      <c r="DW11" s="11"/>
      <c r="DX11" s="11"/>
    </row>
    <row r="12" ht="15.6" customHeight="1">
      <c r="A12" s="27"/>
      <c r="B12" s="296">
        <v>2</v>
      </c>
      <c r="C12" t="s" s="297">
        <v>136</v>
      </c>
      <c r="D12" t="s" s="298">
        <v>145</v>
      </c>
      <c r="E12" s="299"/>
      <c r="F12" t="s" s="300">
        <v>138</v>
      </c>
      <c r="G12" s="301"/>
      <c r="H12" s="299"/>
      <c r="I12" s="302">
        <v>7.3171</v>
      </c>
      <c r="J12" s="303">
        <v>6.0863</v>
      </c>
      <c r="K12" s="303">
        <v>0</v>
      </c>
      <c r="L12" s="304">
        <f>IF(C12="","",_xlfn.IFERROR(IF(I12="","",((I12/10000)*V12*X12)*AD12),"Error ▲"))</f>
        <v>0</v>
      </c>
      <c r="M12" s="304">
        <f>IF(I12="","",IF(J12+K12&gt;I12,"Area Error ▲",I12-J12-K12))</f>
        <v>1.2308</v>
      </c>
      <c r="N12" s="305">
        <f>_xlfn.IFERROR(IF(I12="","",IF(M12="Area Error ▲","Area Error ▲",((M12/10000)*V12*X12)*AD12)),"This intervention is not permitted within the SSM ▲")</f>
        <v>0</v>
      </c>
      <c r="O12" t="s" s="306">
        <v>146</v>
      </c>
      <c r="P12" s="307"/>
      <c r="Q12" s="33"/>
      <c r="R12" s="219"/>
      <c r="S12" s="228"/>
      <c r="T12" t="s" s="285">
        <f>IF(C12="","",VLOOKUP(D12,'9. All Habitats + Multipliers'!$C$4:$K$102,5,FALSE))</f>
        <v>139</v>
      </c>
      <c r="U12" s="286"/>
      <c r="V12" s="287">
        <f>IF(T12="","",VLOOKUP(T12,'11. Lists'!$B$47:$D$49,2,FALSE))</f>
        <v>0</v>
      </c>
      <c r="W12" t="s" s="285">
        <f>IF(C12="","",VLOOKUP(D12,'10. Condition and Temporal'!$B$6:$C$103,2,FALSE))</f>
        <v>140</v>
      </c>
      <c r="X12" s="287">
        <f>IF(W12="","",VLOOKUP(W12,'11. Lists'!$F$47:$G$51,2,FALSE))</f>
        <v>0</v>
      </c>
      <c r="Y12" s="288"/>
      <c r="Z12" s="289"/>
      <c r="AA12" s="290"/>
      <c r="AB12" t="s" s="285">
        <f>IF(F12="","",F12)</f>
        <v>141</v>
      </c>
      <c r="AC12" t="s" s="291">
        <f>IF(AB12="","",VLOOKUP(AB12,'11. Lists'!$F$36:$H$38,2,FALSE))</f>
        <v>142</v>
      </c>
      <c r="AD12" s="287">
        <f>IF(AB12="","",VLOOKUP(AB12,'11. Lists'!$F$36:$H$38,3,FALSE))</f>
        <v>1</v>
      </c>
      <c r="AE12" s="292">
        <f>IF(D12="","",((J12/10000)*V12*X12)*AD12)</f>
        <v>0</v>
      </c>
      <c r="AF12" s="293">
        <f>IF(D12="","",((K12/10000)*V12*X12)*AD12)</f>
        <v>0</v>
      </c>
      <c r="AG12" s="294">
        <f>IF(D12="","",M12)</f>
        <v>1.2308</v>
      </c>
      <c r="AH12" t="s" s="295">
        <f>IF(T12="","",VLOOKUP(T12,'11. Lists'!$B$47:$D$49,3,FALSE))</f>
        <v>143</v>
      </c>
      <c r="AI12" t="s" s="295">
        <f>IF(D12="","",VLOOKUP(D12,'10. Condition and Temporal'!$B$6:$L$103,4,FALSE))</f>
        <v>144</v>
      </c>
      <c r="AJ12" s="33"/>
      <c r="AK12" s="11"/>
      <c r="AL12" s="11"/>
      <c r="AM12" s="11"/>
      <c r="AN12" s="11"/>
      <c r="AO12" s="11"/>
      <c r="AP12" s="11"/>
      <c r="AQ12" s="11"/>
      <c r="AR12" s="11"/>
      <c r="AS12" s="11"/>
      <c r="AT12" s="11"/>
      <c r="AU12" s="11"/>
      <c r="AV12" s="11"/>
      <c r="AW12" s="11"/>
      <c r="AX12" s="11"/>
      <c r="AY12" s="11"/>
      <c r="AZ12" s="11"/>
      <c r="BA12" s="11"/>
      <c r="BB12" s="11"/>
      <c r="BC12" s="11"/>
      <c r="BD12" s="11"/>
      <c r="BE12" s="11"/>
      <c r="BF12" s="11"/>
      <c r="BG12" s="11"/>
      <c r="BH12" s="11"/>
      <c r="BI12" s="11"/>
      <c r="BJ12" s="11"/>
      <c r="BK12" s="11"/>
      <c r="BL12" s="11"/>
      <c r="BM12" s="11"/>
      <c r="BN12" s="11"/>
      <c r="BO12" s="11"/>
      <c r="BP12" s="11"/>
      <c r="BQ12" s="11"/>
      <c r="BR12" s="11"/>
      <c r="BS12" s="11"/>
      <c r="BT12" s="11"/>
      <c r="BU12" s="11"/>
      <c r="BV12" s="11"/>
      <c r="BW12" s="11"/>
      <c r="BX12" s="11"/>
      <c r="BY12" s="11"/>
      <c r="BZ12" s="11"/>
      <c r="CA12" s="11"/>
      <c r="CB12" s="11"/>
      <c r="CC12" s="11"/>
      <c r="CD12" s="11"/>
      <c r="CE12" s="11"/>
      <c r="CF12" s="11"/>
      <c r="CG12" s="11"/>
      <c r="CH12" s="11"/>
      <c r="CI12" s="11"/>
      <c r="CJ12" s="11"/>
      <c r="CK12" s="11"/>
      <c r="CL12" s="11"/>
      <c r="CM12" s="11"/>
      <c r="CN12" s="11"/>
      <c r="CO12" s="11"/>
      <c r="CP12" s="11"/>
      <c r="CQ12" s="11"/>
      <c r="CR12" s="11"/>
      <c r="CS12" s="11"/>
      <c r="CT12" s="11"/>
      <c r="CU12" s="11"/>
      <c r="CV12" s="11"/>
      <c r="CW12" s="11"/>
      <c r="CX12" s="11"/>
      <c r="CY12" s="11"/>
      <c r="CZ12" s="11"/>
      <c r="DA12" s="11"/>
      <c r="DB12" s="11"/>
      <c r="DC12" s="11"/>
      <c r="DD12" s="11"/>
      <c r="DE12" s="11"/>
      <c r="DF12" s="11"/>
      <c r="DG12" s="11"/>
      <c r="DH12" s="11"/>
      <c r="DI12" s="11"/>
      <c r="DJ12" s="11"/>
      <c r="DK12" s="11"/>
      <c r="DL12" s="11"/>
      <c r="DM12" s="11"/>
      <c r="DN12" s="11"/>
      <c r="DO12" s="11"/>
      <c r="DP12" s="11"/>
      <c r="DQ12" s="11"/>
      <c r="DR12" s="11"/>
      <c r="DS12" s="11"/>
      <c r="DT12" s="11"/>
      <c r="DU12" s="11"/>
      <c r="DV12" s="11"/>
      <c r="DW12" s="11"/>
      <c r="DX12" s="11"/>
    </row>
    <row r="13" ht="15.6" customHeight="1">
      <c r="A13" s="27"/>
      <c r="B13" s="296">
        <v>3</v>
      </c>
      <c r="C13" s="308"/>
      <c r="D13" s="309"/>
      <c r="E13" s="299"/>
      <c r="F13" s="310"/>
      <c r="G13" s="301"/>
      <c r="H13" s="299"/>
      <c r="I13" s="302"/>
      <c r="J13" s="303"/>
      <c r="K13" s="303"/>
      <c r="L13" t="s" s="311">
        <f>IF(C13="","",_xlfn.IFERROR(IF(I13="","",((I13/10000)*V13*X13)*AD13),"Error ▲"))</f>
      </c>
      <c r="M13" t="s" s="311">
        <f>IF(I13="","",IF(J13+K13&gt;I13,"Area Error ▲",I13-J13-K13))</f>
      </c>
      <c r="N13" t="s" s="311">
        <f>_xlfn.IFERROR(IF(I13="","",IF(M13="Area Error ▲","Area Error ▲",((M13/10000)*V13*X13)*AD13)),"This intervention is not permitted within the SSM ▲")</f>
      </c>
      <c r="O13" s="312"/>
      <c r="P13" s="307"/>
      <c r="Q13" s="33"/>
      <c r="R13" s="219"/>
      <c r="S13" s="228"/>
      <c r="T13" t="s" s="285">
        <f>IF(C13="","",VLOOKUP(D13,'9. All Habitats + Multipliers'!$C$4:$K$102,5,FALSE))</f>
      </c>
      <c r="U13" s="286"/>
      <c r="V13" t="s" s="313">
        <f>IF(T13="","",VLOOKUP(T13,'11. Lists'!$B$47:$D$49,2,FALSE))</f>
      </c>
      <c r="W13" t="s" s="285">
        <f>IF(C13="","",VLOOKUP(D13,'10. Condition and Temporal'!$B$6:$C$103,2,FALSE))</f>
      </c>
      <c r="X13" t="s" s="313">
        <f>IF(W13="","",VLOOKUP(W13,'11. Lists'!$F$47:$G$51,2,FALSE))</f>
      </c>
      <c r="Y13" s="288"/>
      <c r="Z13" s="289"/>
      <c r="AA13" s="290"/>
      <c r="AB13" t="s" s="285">
        <f>IF(F13="","",F13)</f>
      </c>
      <c r="AC13" t="s" s="291">
        <f>IF(AB13="","",VLOOKUP(AB13,'11. Lists'!$F$36:$H$38,2,FALSE))</f>
      </c>
      <c r="AD13" t="s" s="313">
        <f>IF(AB13="","",VLOOKUP(AB13,'11. Lists'!$F$36:$H$38,3,FALSE))</f>
      </c>
      <c r="AE13" t="s" s="285">
        <f>IF(D13="","",((J13/10000)*V13*X13)*AD13)</f>
      </c>
      <c r="AF13" t="s" s="291">
        <f>IF(D13="","",((K13/10000)*V13*X13)*AD13)</f>
      </c>
      <c r="AG13" t="s" s="313">
        <f>IF(D13="","",M13)</f>
      </c>
      <c r="AH13" t="s" s="295">
        <f>IF(T13="","",VLOOKUP(T13,'11. Lists'!$B$47:$D$49,3,FALSE))</f>
      </c>
      <c r="AI13" t="s" s="295">
        <f>IF(D13="","",VLOOKUP(D13,'10. Condition and Temporal'!$B$6:$L$103,4,FALSE))</f>
      </c>
      <c r="AJ13" s="33"/>
      <c r="AK13" s="11"/>
      <c r="AL13" s="11"/>
      <c r="AM13" s="11"/>
      <c r="AN13" s="11"/>
      <c r="AO13" s="11"/>
      <c r="AP13" s="11"/>
      <c r="AQ13" s="11"/>
      <c r="AR13" s="11"/>
      <c r="AS13" s="11"/>
      <c r="AT13" s="11"/>
      <c r="AU13" s="11"/>
      <c r="AV13" s="11"/>
      <c r="AW13" s="11"/>
      <c r="AX13" s="11"/>
      <c r="AY13" s="11"/>
      <c r="AZ13" s="11"/>
      <c r="BA13" s="11"/>
      <c r="BB13" s="11"/>
      <c r="BC13" s="11"/>
      <c r="BD13" s="11"/>
      <c r="BE13" s="11"/>
      <c r="BF13" s="11"/>
      <c r="BG13" s="11"/>
      <c r="BH13" s="11"/>
      <c r="BI13" s="11"/>
      <c r="BJ13" s="11"/>
      <c r="BK13" s="11"/>
      <c r="BL13" s="11"/>
      <c r="BM13" s="11"/>
      <c r="BN13" s="11"/>
      <c r="BO13" s="11"/>
      <c r="BP13" s="11"/>
      <c r="BQ13" s="11"/>
      <c r="BR13" s="11"/>
      <c r="BS13" s="11"/>
      <c r="BT13" s="11"/>
      <c r="BU13" s="11"/>
      <c r="BV13" s="11"/>
      <c r="BW13" s="11"/>
      <c r="BX13" s="11"/>
      <c r="BY13" s="11"/>
      <c r="BZ13" s="11"/>
      <c r="CA13" s="11"/>
      <c r="CB13" s="11"/>
      <c r="CC13" s="11"/>
      <c r="CD13" s="11"/>
      <c r="CE13" s="11"/>
      <c r="CF13" s="11"/>
      <c r="CG13" s="11"/>
      <c r="CH13" s="11"/>
      <c r="CI13" s="11"/>
      <c r="CJ13" s="11"/>
      <c r="CK13" s="11"/>
      <c r="CL13" s="11"/>
      <c r="CM13" s="11"/>
      <c r="CN13" s="11"/>
      <c r="CO13" s="11"/>
      <c r="CP13" s="11"/>
      <c r="CQ13" s="11"/>
      <c r="CR13" s="11"/>
      <c r="CS13" s="11"/>
      <c r="CT13" s="11"/>
      <c r="CU13" s="11"/>
      <c r="CV13" s="11"/>
      <c r="CW13" s="11"/>
      <c r="CX13" s="11"/>
      <c r="CY13" s="11"/>
      <c r="CZ13" s="11"/>
      <c r="DA13" s="11"/>
      <c r="DB13" s="11"/>
      <c r="DC13" s="11"/>
      <c r="DD13" s="11"/>
      <c r="DE13" s="11"/>
      <c r="DF13" s="11"/>
      <c r="DG13" s="11"/>
      <c r="DH13" s="11"/>
      <c r="DI13" s="11"/>
      <c r="DJ13" s="11"/>
      <c r="DK13" s="11"/>
      <c r="DL13" s="11"/>
      <c r="DM13" s="11"/>
      <c r="DN13" s="11"/>
      <c r="DO13" s="11"/>
      <c r="DP13" s="11"/>
      <c r="DQ13" s="11"/>
      <c r="DR13" s="11"/>
      <c r="DS13" s="11"/>
      <c r="DT13" s="11"/>
      <c r="DU13" s="11"/>
      <c r="DV13" s="11"/>
      <c r="DW13" s="11"/>
      <c r="DX13" s="11"/>
    </row>
    <row r="14" ht="15.6" customHeight="1">
      <c r="A14" s="27"/>
      <c r="B14" s="296">
        <v>4</v>
      </c>
      <c r="C14" s="308"/>
      <c r="D14" s="314"/>
      <c r="E14" s="315"/>
      <c r="F14" s="310"/>
      <c r="G14" s="301"/>
      <c r="H14" s="299"/>
      <c r="I14" s="302"/>
      <c r="J14" s="303"/>
      <c r="K14" s="303"/>
      <c r="L14" t="s" s="311">
        <f>IF(C14="","",_xlfn.IFERROR(IF(I14="","",((I14/10000)*V14*X14)*AD14),"Error ▲"))</f>
      </c>
      <c r="M14" t="s" s="311">
        <f>IF(I14="","",IF(J14+K14&gt;I14,"Area Error ▲",I14-J14-K14))</f>
      </c>
      <c r="N14" t="s" s="311">
        <f>_xlfn.IFERROR(IF(I14="","",IF(M14="Area Error ▲","Area Error ▲",((M14/10000)*V14*X14)*AD14)),"This intervention is not permitted within the SSM ▲")</f>
      </c>
      <c r="O14" s="312"/>
      <c r="P14" s="307"/>
      <c r="Q14" s="33"/>
      <c r="R14" s="219"/>
      <c r="S14" s="228"/>
      <c r="T14" t="s" s="285">
        <f>IF(C14="","",VLOOKUP(D14,'9. All Habitats + Multipliers'!$C$4:$K$102,5,FALSE))</f>
      </c>
      <c r="U14" s="286"/>
      <c r="V14" t="s" s="313">
        <f>IF(T14="","",VLOOKUP(T14,'11. Lists'!$B$47:$D$49,2,FALSE))</f>
      </c>
      <c r="W14" t="s" s="285">
        <f>IF(C14="","",VLOOKUP(D14,'10. Condition and Temporal'!$B$6:$C$103,2,FALSE))</f>
      </c>
      <c r="X14" t="s" s="313">
        <f>IF(W14="","",VLOOKUP(W14,'11. Lists'!$F$47:$G$51,2,FALSE))</f>
      </c>
      <c r="Y14" s="288"/>
      <c r="Z14" s="289"/>
      <c r="AA14" s="290"/>
      <c r="AB14" t="s" s="285">
        <f>IF(F14="","",F14)</f>
      </c>
      <c r="AC14" t="s" s="291">
        <f>IF(AB14="","",VLOOKUP(AB14,'11. Lists'!$F$36:$H$38,2,FALSE))</f>
      </c>
      <c r="AD14" t="s" s="313">
        <f>IF(AB14="","",VLOOKUP(AB14,'11. Lists'!$F$36:$H$38,3,FALSE))</f>
      </c>
      <c r="AE14" t="s" s="285">
        <f>IF(D14="","",((J14/10000)*V14*X14)*AD14)</f>
      </c>
      <c r="AF14" t="s" s="291">
        <f>IF(D14="","",((K14/10000)*V14*X14)*AD14)</f>
      </c>
      <c r="AG14" t="s" s="313">
        <f>IF(D14="","",M14)</f>
      </c>
      <c r="AH14" t="s" s="295">
        <f>IF(T14="","",VLOOKUP(T14,'11. Lists'!$B$47:$D$49,3,FALSE))</f>
      </c>
      <c r="AI14" t="s" s="295">
        <f>IF(D14="","",VLOOKUP(D14,'10. Condition and Temporal'!$B$6:$L$103,4,FALSE))</f>
      </c>
      <c r="AJ14" s="33"/>
      <c r="AK14" s="11"/>
      <c r="AL14" s="11"/>
      <c r="AM14" s="11"/>
      <c r="AN14" s="11"/>
      <c r="AO14" s="11"/>
      <c r="AP14" s="11"/>
      <c r="AQ14" s="11"/>
      <c r="AR14" s="11"/>
      <c r="AS14" s="11"/>
      <c r="AT14" s="11"/>
      <c r="AU14" s="11"/>
      <c r="AV14" s="11"/>
      <c r="AW14" s="11"/>
      <c r="AX14" s="11"/>
      <c r="AY14" s="11"/>
      <c r="AZ14" s="11"/>
      <c r="BA14" s="11"/>
      <c r="BB14" s="11"/>
      <c r="BC14" s="11"/>
      <c r="BD14" s="11"/>
      <c r="BE14" s="11"/>
      <c r="BF14" s="11"/>
      <c r="BG14" s="11"/>
      <c r="BH14" s="11"/>
      <c r="BI14" s="11"/>
      <c r="BJ14" s="11"/>
      <c r="BK14" s="11"/>
      <c r="BL14" s="11"/>
      <c r="BM14" s="11"/>
      <c r="BN14" s="11"/>
      <c r="BO14" s="11"/>
      <c r="BP14" s="11"/>
      <c r="BQ14" s="11"/>
      <c r="BR14" s="11"/>
      <c r="BS14" s="11"/>
      <c r="BT14" s="11"/>
      <c r="BU14" s="11"/>
      <c r="BV14" s="11"/>
      <c r="BW14" s="11"/>
      <c r="BX14" s="11"/>
      <c r="BY14" s="11"/>
      <c r="BZ14" s="11"/>
      <c r="CA14" s="11"/>
      <c r="CB14" s="11"/>
      <c r="CC14" s="11"/>
      <c r="CD14" s="11"/>
      <c r="CE14" s="11"/>
      <c r="CF14" s="11"/>
      <c r="CG14" s="11"/>
      <c r="CH14" s="11"/>
      <c r="CI14" s="11"/>
      <c r="CJ14" s="11"/>
      <c r="CK14" s="11"/>
      <c r="CL14" s="11"/>
      <c r="CM14" s="11"/>
      <c r="CN14" s="11"/>
      <c r="CO14" s="11"/>
      <c r="CP14" s="11"/>
      <c r="CQ14" s="11"/>
      <c r="CR14" s="11"/>
      <c r="CS14" s="11"/>
      <c r="CT14" s="11"/>
      <c r="CU14" s="11"/>
      <c r="CV14" s="11"/>
      <c r="CW14" s="11"/>
      <c r="CX14" s="11"/>
      <c r="CY14" s="11"/>
      <c r="CZ14" s="11"/>
      <c r="DA14" s="11"/>
      <c r="DB14" s="11"/>
      <c r="DC14" s="11"/>
      <c r="DD14" s="11"/>
      <c r="DE14" s="11"/>
      <c r="DF14" s="11"/>
      <c r="DG14" s="11"/>
      <c r="DH14" s="11"/>
      <c r="DI14" s="11"/>
      <c r="DJ14" s="11"/>
      <c r="DK14" s="11"/>
      <c r="DL14" s="11"/>
      <c r="DM14" s="11"/>
      <c r="DN14" s="11"/>
      <c r="DO14" s="11"/>
      <c r="DP14" s="11"/>
      <c r="DQ14" s="11"/>
      <c r="DR14" s="11"/>
      <c r="DS14" s="11"/>
      <c r="DT14" s="11"/>
      <c r="DU14" s="11"/>
      <c r="DV14" s="11"/>
      <c r="DW14" s="11"/>
      <c r="DX14" s="11"/>
    </row>
    <row r="15" ht="15.6" customHeight="1">
      <c r="A15" s="27"/>
      <c r="B15" s="296">
        <v>5</v>
      </c>
      <c r="C15" s="308"/>
      <c r="D15" s="309"/>
      <c r="E15" s="299"/>
      <c r="F15" s="310"/>
      <c r="G15" s="301"/>
      <c r="H15" s="299"/>
      <c r="I15" s="302"/>
      <c r="J15" s="303"/>
      <c r="K15" s="303"/>
      <c r="L15" t="s" s="311">
        <f>IF(C15="","",_xlfn.IFERROR(IF(I15="","",((I15/10000)*V15*X15)*AD15),"Error ▲"))</f>
      </c>
      <c r="M15" t="s" s="311">
        <f>IF(I15="","",IF(J15+K15&gt;I15,"Area Error ▲",I15-J15-K15))</f>
      </c>
      <c r="N15" t="s" s="311">
        <f>_xlfn.IFERROR(IF(I15="","",IF(M15="Area Error ▲","Area Error ▲",((M15/10000)*V15*X15)*AD15)),"This intervention is not permitted within the SSM ▲")</f>
      </c>
      <c r="O15" s="312"/>
      <c r="P15" s="307"/>
      <c r="Q15" s="33"/>
      <c r="R15" s="219"/>
      <c r="S15" s="228"/>
      <c r="T15" t="s" s="285">
        <f>IF(C15="","",VLOOKUP(D15,'9. All Habitats + Multipliers'!$C$4:$K$102,5,FALSE))</f>
      </c>
      <c r="U15" s="286"/>
      <c r="V15" t="s" s="313">
        <f>IF(T15="","",VLOOKUP(T15,'11. Lists'!$B$47:$D$49,2,FALSE))</f>
      </c>
      <c r="W15" t="s" s="285">
        <f>IF(C15="","",VLOOKUP(D15,'10. Condition and Temporal'!$B$6:$C$103,2,FALSE))</f>
      </c>
      <c r="X15" t="s" s="313">
        <f>IF(W15="","",VLOOKUP(W15,'11. Lists'!$F$47:$G$51,2,FALSE))</f>
      </c>
      <c r="Y15" s="288"/>
      <c r="Z15" s="289"/>
      <c r="AA15" s="290"/>
      <c r="AB15" t="s" s="285">
        <f>IF(F15="","",F15)</f>
      </c>
      <c r="AC15" t="s" s="291">
        <f>IF(AB15="","",VLOOKUP(AB15,'11. Lists'!$F$36:$H$38,2,FALSE))</f>
      </c>
      <c r="AD15" t="s" s="313">
        <f>IF(AB15="","",VLOOKUP(AB15,'11. Lists'!$F$36:$H$38,3,FALSE))</f>
      </c>
      <c r="AE15" t="s" s="285">
        <f>IF(D15="","",((J15/10000)*V15*X15)*AD15)</f>
      </c>
      <c r="AF15" t="s" s="291">
        <f>IF(D15="","",((K15/10000)*V15*X15)*AD15)</f>
      </c>
      <c r="AG15" t="s" s="313">
        <f>IF(D15="","",M15)</f>
      </c>
      <c r="AH15" t="s" s="295">
        <f>IF(T15="","",VLOOKUP(T15,'11. Lists'!$B$47:$D$49,3,FALSE))</f>
      </c>
      <c r="AI15" t="s" s="295">
        <f>IF(D15="","",VLOOKUP(D15,'10. Condition and Temporal'!$B$6:$L$103,4,FALSE))</f>
      </c>
      <c r="AJ15" s="33"/>
      <c r="AK15" s="11"/>
      <c r="AL15" s="11"/>
      <c r="AM15" s="11"/>
      <c r="AN15" s="11"/>
      <c r="AO15" s="11"/>
      <c r="AP15" s="11"/>
      <c r="AQ15" s="11"/>
      <c r="AR15" s="11"/>
      <c r="AS15" s="11"/>
      <c r="AT15" s="11"/>
      <c r="AU15" s="11"/>
      <c r="AV15" s="11"/>
      <c r="AW15" s="11"/>
      <c r="AX15" s="11"/>
      <c r="AY15" s="11"/>
      <c r="AZ15" s="11"/>
      <c r="BA15" s="11"/>
      <c r="BB15" s="11"/>
      <c r="BC15" s="11"/>
      <c r="BD15" s="11"/>
      <c r="BE15" s="11"/>
      <c r="BF15" s="11"/>
      <c r="BG15" s="11"/>
      <c r="BH15" s="11"/>
      <c r="BI15" s="11"/>
      <c r="BJ15" s="11"/>
      <c r="BK15" s="11"/>
      <c r="BL15" s="11"/>
      <c r="BM15" s="11"/>
      <c r="BN15" s="11"/>
      <c r="BO15" s="11"/>
      <c r="BP15" s="11"/>
      <c r="BQ15" s="11"/>
      <c r="BR15" s="11"/>
      <c r="BS15" s="11"/>
      <c r="BT15" s="11"/>
      <c r="BU15" s="11"/>
      <c r="BV15" s="11"/>
      <c r="BW15" s="11"/>
      <c r="BX15" s="11"/>
      <c r="BY15" s="11"/>
      <c r="BZ15" s="11"/>
      <c r="CA15" s="11"/>
      <c r="CB15" s="11"/>
      <c r="CC15" s="11"/>
      <c r="CD15" s="11"/>
      <c r="CE15" s="11"/>
      <c r="CF15" s="11"/>
      <c r="CG15" s="11"/>
      <c r="CH15" s="11"/>
      <c r="CI15" s="11"/>
      <c r="CJ15" s="11"/>
      <c r="CK15" s="11"/>
      <c r="CL15" s="11"/>
      <c r="CM15" s="11"/>
      <c r="CN15" s="11"/>
      <c r="CO15" s="11"/>
      <c r="CP15" s="11"/>
      <c r="CQ15" s="11"/>
      <c r="CR15" s="11"/>
      <c r="CS15" s="11"/>
      <c r="CT15" s="11"/>
      <c r="CU15" s="11"/>
      <c r="CV15" s="11"/>
      <c r="CW15" s="11"/>
      <c r="CX15" s="11"/>
      <c r="CY15" s="11"/>
      <c r="CZ15" s="11"/>
      <c r="DA15" s="11"/>
      <c r="DB15" s="11"/>
      <c r="DC15" s="11"/>
      <c r="DD15" s="11"/>
      <c r="DE15" s="11"/>
      <c r="DF15" s="11"/>
      <c r="DG15" s="11"/>
      <c r="DH15" s="11"/>
      <c r="DI15" s="11"/>
      <c r="DJ15" s="11"/>
      <c r="DK15" s="11"/>
      <c r="DL15" s="11"/>
      <c r="DM15" s="11"/>
      <c r="DN15" s="11"/>
      <c r="DO15" s="11"/>
      <c r="DP15" s="11"/>
      <c r="DQ15" s="11"/>
      <c r="DR15" s="11"/>
      <c r="DS15" s="11"/>
      <c r="DT15" s="11"/>
      <c r="DU15" s="11"/>
      <c r="DV15" s="11"/>
      <c r="DW15" s="11"/>
      <c r="DX15" s="11"/>
    </row>
    <row r="16" ht="15.6" customHeight="1">
      <c r="A16" s="27"/>
      <c r="B16" s="296">
        <v>6</v>
      </c>
      <c r="C16" s="308"/>
      <c r="D16" s="309"/>
      <c r="E16" s="299"/>
      <c r="F16" s="310"/>
      <c r="G16" s="301"/>
      <c r="H16" s="299"/>
      <c r="I16" s="302"/>
      <c r="J16" s="303"/>
      <c r="K16" s="303"/>
      <c r="L16" t="s" s="311">
        <f>IF(C16="","",_xlfn.IFERROR(IF(I16="","",((I16/10000)*V16*X16)*AD16),"Error ▲"))</f>
      </c>
      <c r="M16" t="s" s="311">
        <f>IF(I16="","",IF(J16+K16&gt;I16,"Area Error ▲",I16-J16-K16))</f>
      </c>
      <c r="N16" t="s" s="311">
        <f>_xlfn.IFERROR(IF(I16="","",IF(M16="Area Error ▲","Area Error ▲",((M16/10000)*V16*X16)*AD16)),"This intervention is not permitted within the SSM ▲")</f>
      </c>
      <c r="O16" s="312"/>
      <c r="P16" s="307"/>
      <c r="Q16" s="33"/>
      <c r="R16" s="219"/>
      <c r="S16" s="228"/>
      <c r="T16" t="s" s="285">
        <f>IF(C16="","",VLOOKUP(D16,'9. All Habitats + Multipliers'!$C$4:$K$102,5,FALSE))</f>
      </c>
      <c r="U16" s="286"/>
      <c r="V16" t="s" s="313">
        <f>IF(T16="","",VLOOKUP(T16,'11. Lists'!$B$47:$D$49,2,FALSE))</f>
      </c>
      <c r="W16" t="s" s="285">
        <f>IF(C16="","",VLOOKUP(D16,'10. Condition and Temporal'!$B$6:$C$103,2,FALSE))</f>
      </c>
      <c r="X16" t="s" s="313">
        <f>IF(W16="","",VLOOKUP(W16,'11. Lists'!$F$47:$G$51,2,FALSE))</f>
      </c>
      <c r="Y16" s="288"/>
      <c r="Z16" s="289"/>
      <c r="AA16" s="290"/>
      <c r="AB16" t="s" s="285">
        <f>IF(F16="","",F16)</f>
      </c>
      <c r="AC16" t="s" s="291">
        <f>IF(AB16="","",VLOOKUP(AB16,'11. Lists'!$F$36:$H$38,2,FALSE))</f>
      </c>
      <c r="AD16" t="s" s="313">
        <f>IF(AB16="","",VLOOKUP(AB16,'11. Lists'!$F$36:$H$38,3,FALSE))</f>
      </c>
      <c r="AE16" t="s" s="285">
        <f>IF(D16="","",((J16/10000)*V16*X16)*AD16)</f>
      </c>
      <c r="AF16" t="s" s="291">
        <f>IF(D16="","",((K16/10000)*V16*X16)*AD16)</f>
      </c>
      <c r="AG16" t="s" s="313">
        <f>IF(D16="","",M16)</f>
      </c>
      <c r="AH16" t="s" s="295">
        <f>IF(T16="","",VLOOKUP(T16,'11. Lists'!$B$47:$D$49,3,FALSE))</f>
      </c>
      <c r="AI16" t="s" s="295">
        <f>IF(D16="","",VLOOKUP(D16,'10. Condition and Temporal'!$B$6:$L$103,4,FALSE))</f>
      </c>
      <c r="AJ16" s="33"/>
      <c r="AK16" s="11"/>
      <c r="AL16" s="11"/>
      <c r="AM16" s="11"/>
      <c r="AN16" s="11"/>
      <c r="AO16" s="11"/>
      <c r="AP16" s="11"/>
      <c r="AQ16" s="11"/>
      <c r="AR16" s="11"/>
      <c r="AS16" s="11"/>
      <c r="AT16" s="11"/>
      <c r="AU16" s="11"/>
      <c r="AV16" s="11"/>
      <c r="AW16" s="11"/>
      <c r="AX16" s="11"/>
      <c r="AY16" s="11"/>
      <c r="AZ16" s="11"/>
      <c r="BA16" s="11"/>
      <c r="BB16" s="11"/>
      <c r="BC16" s="11"/>
      <c r="BD16" s="11"/>
      <c r="BE16" s="11"/>
      <c r="BF16" s="11"/>
      <c r="BG16" s="11"/>
      <c r="BH16" s="11"/>
      <c r="BI16" s="11"/>
      <c r="BJ16" s="11"/>
      <c r="BK16" s="11"/>
      <c r="BL16" s="11"/>
      <c r="BM16" s="11"/>
      <c r="BN16" s="11"/>
      <c r="BO16" s="11"/>
      <c r="BP16" s="11"/>
      <c r="BQ16" s="11"/>
      <c r="BR16" s="11"/>
      <c r="BS16" s="11"/>
      <c r="BT16" s="11"/>
      <c r="BU16" s="11"/>
      <c r="BV16" s="11"/>
      <c r="BW16" s="11"/>
      <c r="BX16" s="11"/>
      <c r="BY16" s="11"/>
      <c r="BZ16" s="11"/>
      <c r="CA16" s="11"/>
      <c r="CB16" s="11"/>
      <c r="CC16" s="11"/>
      <c r="CD16" s="11"/>
      <c r="CE16" s="11"/>
      <c r="CF16" s="11"/>
      <c r="CG16" s="11"/>
      <c r="CH16" s="11"/>
      <c r="CI16" s="11"/>
      <c r="CJ16" s="11"/>
      <c r="CK16" s="11"/>
      <c r="CL16" s="11"/>
      <c r="CM16" s="11"/>
      <c r="CN16" s="11"/>
      <c r="CO16" s="11"/>
      <c r="CP16" s="11"/>
      <c r="CQ16" s="11"/>
      <c r="CR16" s="11"/>
      <c r="CS16" s="11"/>
      <c r="CT16" s="11"/>
      <c r="CU16" s="11"/>
      <c r="CV16" s="11"/>
      <c r="CW16" s="11"/>
      <c r="CX16" s="11"/>
      <c r="CY16" s="11"/>
      <c r="CZ16" s="11"/>
      <c r="DA16" s="11"/>
      <c r="DB16" s="11"/>
      <c r="DC16" s="11"/>
      <c r="DD16" s="11"/>
      <c r="DE16" s="11"/>
      <c r="DF16" s="11"/>
      <c r="DG16" s="11"/>
      <c r="DH16" s="11"/>
      <c r="DI16" s="11"/>
      <c r="DJ16" s="11"/>
      <c r="DK16" s="11"/>
      <c r="DL16" s="11"/>
      <c r="DM16" s="11"/>
      <c r="DN16" s="11"/>
      <c r="DO16" s="11"/>
      <c r="DP16" s="11"/>
      <c r="DQ16" s="11"/>
      <c r="DR16" s="11"/>
      <c r="DS16" s="11"/>
      <c r="DT16" s="11"/>
      <c r="DU16" s="11"/>
      <c r="DV16" s="11"/>
      <c r="DW16" s="11"/>
      <c r="DX16" s="11"/>
    </row>
    <row r="17" ht="15.6" customHeight="1">
      <c r="A17" s="27"/>
      <c r="B17" s="296">
        <v>7</v>
      </c>
      <c r="C17" s="308"/>
      <c r="D17" s="309"/>
      <c r="E17" s="299"/>
      <c r="F17" s="310"/>
      <c r="G17" s="301"/>
      <c r="H17" s="299"/>
      <c r="I17" s="302"/>
      <c r="J17" s="303"/>
      <c r="K17" s="303"/>
      <c r="L17" t="s" s="311">
        <f>IF(C17="","",_xlfn.IFERROR(IF(I17="","",((I17/10000)*V17*X17)*AD17),"Error ▲"))</f>
      </c>
      <c r="M17" t="s" s="311">
        <f>IF(I17="","",IF(J17+K17&gt;I17,"Area Error ▲",I17-J17-K17))</f>
      </c>
      <c r="N17" t="s" s="311">
        <f>_xlfn.IFERROR(IF(I17="","",IF(M17="Area Error ▲","Area Error ▲",((M17/10000)*V17*X17)*AD17)),"This intervention is not permitted within the SSM ▲")</f>
      </c>
      <c r="O17" s="312"/>
      <c r="P17" s="307"/>
      <c r="Q17" s="33"/>
      <c r="R17" s="219"/>
      <c r="S17" s="228"/>
      <c r="T17" t="s" s="285">
        <f>IF(C17="","",VLOOKUP(D17,'9. All Habitats + Multipliers'!$C$4:$K$102,5,FALSE))</f>
      </c>
      <c r="U17" s="286"/>
      <c r="V17" t="s" s="313">
        <f>IF(T17="","",VLOOKUP(T17,'11. Lists'!$B$47:$D$49,2,FALSE))</f>
      </c>
      <c r="W17" t="s" s="285">
        <f>IF(C17="","",VLOOKUP(D17,'10. Condition and Temporal'!$B$6:$C$103,2,FALSE))</f>
      </c>
      <c r="X17" t="s" s="313">
        <f>IF(W17="","",VLOOKUP(W17,'11. Lists'!$F$47:$G$51,2,FALSE))</f>
      </c>
      <c r="Y17" s="288"/>
      <c r="Z17" s="289"/>
      <c r="AA17" s="290"/>
      <c r="AB17" t="s" s="285">
        <f>IF(F17="","",F17)</f>
      </c>
      <c r="AC17" t="s" s="291">
        <f>IF(AB17="","",VLOOKUP(AB17,'11. Lists'!$F$36:$H$38,2,FALSE))</f>
      </c>
      <c r="AD17" t="s" s="313">
        <f>IF(AB17="","",VLOOKUP(AB17,'11. Lists'!$F$36:$H$38,3,FALSE))</f>
      </c>
      <c r="AE17" t="s" s="285">
        <f>IF(D17="","",((J17/10000)*V17*X17)*AD17)</f>
      </c>
      <c r="AF17" t="s" s="291">
        <f>IF(D17="","",((K17/10000)*V17*X17)*AD17)</f>
      </c>
      <c r="AG17" t="s" s="313">
        <f>IF(D17="","",M17)</f>
      </c>
      <c r="AH17" t="s" s="295">
        <f>IF(T17="","",VLOOKUP(T17,'11. Lists'!$B$47:$D$49,3,FALSE))</f>
      </c>
      <c r="AI17" t="s" s="295">
        <f>IF(D17="","",VLOOKUP(D17,'10. Condition and Temporal'!$B$6:$L$103,4,FALSE))</f>
      </c>
      <c r="AJ17" s="33"/>
      <c r="AK17" s="11"/>
      <c r="AL17" s="11"/>
      <c r="AM17" s="11"/>
      <c r="AN17" s="11"/>
      <c r="AO17" s="11"/>
      <c r="AP17" s="11"/>
      <c r="AQ17" s="11"/>
      <c r="AR17" s="11"/>
      <c r="AS17" s="11"/>
      <c r="AT17" s="11"/>
      <c r="AU17" s="11"/>
      <c r="AV17" s="11"/>
      <c r="AW17" s="11"/>
      <c r="AX17" s="11"/>
      <c r="AY17" s="11"/>
      <c r="AZ17" s="11"/>
      <c r="BA17" s="11"/>
      <c r="BB17" s="11"/>
      <c r="BC17" s="11"/>
      <c r="BD17" s="11"/>
      <c r="BE17" s="11"/>
      <c r="BF17" s="11"/>
      <c r="BG17" s="11"/>
      <c r="BH17" s="11"/>
      <c r="BI17" s="11"/>
      <c r="BJ17" s="11"/>
      <c r="BK17" s="11"/>
      <c r="BL17" s="11"/>
      <c r="BM17" s="11"/>
      <c r="BN17" s="11"/>
      <c r="BO17" s="11"/>
      <c r="BP17" s="11"/>
      <c r="BQ17" s="11"/>
      <c r="BR17" s="11"/>
      <c r="BS17" s="11"/>
      <c r="BT17" s="11"/>
      <c r="BU17" s="11"/>
      <c r="BV17" s="11"/>
      <c r="BW17" s="11"/>
      <c r="BX17" s="11"/>
      <c r="BY17" s="11"/>
      <c r="BZ17" s="11"/>
      <c r="CA17" s="11"/>
      <c r="CB17" s="11"/>
      <c r="CC17" s="11"/>
      <c r="CD17" s="11"/>
      <c r="CE17" s="11"/>
      <c r="CF17" s="11"/>
      <c r="CG17" s="11"/>
      <c r="CH17" s="11"/>
      <c r="CI17" s="11"/>
      <c r="CJ17" s="11"/>
      <c r="CK17" s="11"/>
      <c r="CL17" s="11"/>
      <c r="CM17" s="11"/>
      <c r="CN17" s="11"/>
      <c r="CO17" s="11"/>
      <c r="CP17" s="11"/>
      <c r="CQ17" s="11"/>
      <c r="CR17" s="11"/>
      <c r="CS17" s="11"/>
      <c r="CT17" s="11"/>
      <c r="CU17" s="11"/>
      <c r="CV17" s="11"/>
      <c r="CW17" s="11"/>
      <c r="CX17" s="11"/>
      <c r="CY17" s="11"/>
      <c r="CZ17" s="11"/>
      <c r="DA17" s="11"/>
      <c r="DB17" s="11"/>
      <c r="DC17" s="11"/>
      <c r="DD17" s="11"/>
      <c r="DE17" s="11"/>
      <c r="DF17" s="11"/>
      <c r="DG17" s="11"/>
      <c r="DH17" s="11"/>
      <c r="DI17" s="11"/>
      <c r="DJ17" s="11"/>
      <c r="DK17" s="11"/>
      <c r="DL17" s="11"/>
      <c r="DM17" s="11"/>
      <c r="DN17" s="11"/>
      <c r="DO17" s="11"/>
      <c r="DP17" s="11"/>
      <c r="DQ17" s="11"/>
      <c r="DR17" s="11"/>
      <c r="DS17" s="11"/>
      <c r="DT17" s="11"/>
      <c r="DU17" s="11"/>
      <c r="DV17" s="11"/>
      <c r="DW17" s="11"/>
      <c r="DX17" s="11"/>
    </row>
    <row r="18" ht="15.6" customHeight="1">
      <c r="A18" s="27"/>
      <c r="B18" s="296">
        <v>8</v>
      </c>
      <c r="C18" s="308"/>
      <c r="D18" s="309"/>
      <c r="E18" s="299"/>
      <c r="F18" s="310"/>
      <c r="G18" s="301"/>
      <c r="H18" s="299"/>
      <c r="I18" s="302"/>
      <c r="J18" s="303"/>
      <c r="K18" s="303"/>
      <c r="L18" t="s" s="311">
        <f>IF(C18="","",_xlfn.IFERROR(IF(I18="","",((I18/10000)*V18*X18)*AD18),"Error ▲"))</f>
      </c>
      <c r="M18" t="s" s="311">
        <f>IF(I18="","",IF(J18+K18&gt;I18,"Area Error ▲",I18-J18-K18))</f>
      </c>
      <c r="N18" t="s" s="311">
        <f>_xlfn.IFERROR(IF(I18="","",IF(M18="Area Error ▲","Area Error ▲",((M18/10000)*V18*X18)*AD18)),"This intervention is not permitted within the SSM ▲")</f>
      </c>
      <c r="O18" s="312"/>
      <c r="P18" s="307"/>
      <c r="Q18" s="33"/>
      <c r="R18" s="219"/>
      <c r="S18" s="228"/>
      <c r="T18" t="s" s="285">
        <f>IF(C18="","",VLOOKUP(D18,'9. All Habitats + Multipliers'!$C$4:$K$102,5,FALSE))</f>
      </c>
      <c r="U18" s="286"/>
      <c r="V18" t="s" s="313">
        <f>IF(T18="","",VLOOKUP(T18,'11. Lists'!$B$47:$D$49,2,FALSE))</f>
      </c>
      <c r="W18" t="s" s="285">
        <f>IF(C18="","",VLOOKUP(D18,'10. Condition and Temporal'!$B$6:$C$103,2,FALSE))</f>
      </c>
      <c r="X18" t="s" s="313">
        <f>IF(W18="","",VLOOKUP(W18,'11. Lists'!$F$47:$G$51,2,FALSE))</f>
      </c>
      <c r="Y18" s="288"/>
      <c r="Z18" s="289"/>
      <c r="AA18" s="290"/>
      <c r="AB18" t="s" s="285">
        <f>IF(F18="","",F18)</f>
      </c>
      <c r="AC18" t="s" s="291">
        <f>IF(AB18="","",VLOOKUP(AB18,'11. Lists'!$F$36:$H$38,2,FALSE))</f>
      </c>
      <c r="AD18" t="s" s="313">
        <f>IF(AB18="","",VLOOKUP(AB18,'11. Lists'!$F$36:$H$38,3,FALSE))</f>
      </c>
      <c r="AE18" t="s" s="285">
        <f>IF(D18="","",((J18/10000)*V18*X18)*AD18)</f>
      </c>
      <c r="AF18" t="s" s="291">
        <f>IF(D18="","",((K18/10000)*V18*X18)*AD18)</f>
      </c>
      <c r="AG18" t="s" s="313">
        <f>IF(D18="","",M18)</f>
      </c>
      <c r="AH18" t="s" s="295">
        <f>IF(T18="","",VLOOKUP(T18,'11. Lists'!$B$47:$D$49,3,FALSE))</f>
      </c>
      <c r="AI18" t="s" s="295">
        <f>IF(D18="","",VLOOKUP(D18,'10. Condition and Temporal'!$B$6:$L$103,4,FALSE))</f>
      </c>
      <c r="AJ18" s="33"/>
      <c r="AK18" s="11"/>
      <c r="AL18" s="11"/>
      <c r="AM18" s="11"/>
      <c r="AN18" s="11"/>
      <c r="AO18" s="11"/>
      <c r="AP18" s="11"/>
      <c r="AQ18" s="11"/>
      <c r="AR18" s="11"/>
      <c r="AS18" s="11"/>
      <c r="AT18" s="11"/>
      <c r="AU18" s="11"/>
      <c r="AV18" s="11"/>
      <c r="AW18" s="11"/>
      <c r="AX18" s="11"/>
      <c r="AY18" s="11"/>
      <c r="AZ18" s="11"/>
      <c r="BA18" s="11"/>
      <c r="BB18" s="11"/>
      <c r="BC18" s="11"/>
      <c r="BD18" s="11"/>
      <c r="BE18" s="11"/>
      <c r="BF18" s="11"/>
      <c r="BG18" s="11"/>
      <c r="BH18" s="11"/>
      <c r="BI18" s="11"/>
      <c r="BJ18" s="11"/>
      <c r="BK18" s="11"/>
      <c r="BL18" s="11"/>
      <c r="BM18" s="11"/>
      <c r="BN18" s="11"/>
      <c r="BO18" s="11"/>
      <c r="BP18" s="11"/>
      <c r="BQ18" s="11"/>
      <c r="BR18" s="11"/>
      <c r="BS18" s="11"/>
      <c r="BT18" s="11"/>
      <c r="BU18" s="11"/>
      <c r="BV18" s="11"/>
      <c r="BW18" s="11"/>
      <c r="BX18" s="11"/>
      <c r="BY18" s="11"/>
      <c r="BZ18" s="11"/>
      <c r="CA18" s="11"/>
      <c r="CB18" s="11"/>
      <c r="CC18" s="11"/>
      <c r="CD18" s="11"/>
      <c r="CE18" s="11"/>
      <c r="CF18" s="11"/>
      <c r="CG18" s="11"/>
      <c r="CH18" s="11"/>
      <c r="CI18" s="11"/>
      <c r="CJ18" s="11"/>
      <c r="CK18" s="11"/>
      <c r="CL18" s="11"/>
      <c r="CM18" s="11"/>
      <c r="CN18" s="11"/>
      <c r="CO18" s="11"/>
      <c r="CP18" s="11"/>
      <c r="CQ18" s="11"/>
      <c r="CR18" s="11"/>
      <c r="CS18" s="11"/>
      <c r="CT18" s="11"/>
      <c r="CU18" s="11"/>
      <c r="CV18" s="11"/>
      <c r="CW18" s="11"/>
      <c r="CX18" s="11"/>
      <c r="CY18" s="11"/>
      <c r="CZ18" s="11"/>
      <c r="DA18" s="11"/>
      <c r="DB18" s="11"/>
      <c r="DC18" s="11"/>
      <c r="DD18" s="11"/>
      <c r="DE18" s="11"/>
      <c r="DF18" s="11"/>
      <c r="DG18" s="11"/>
      <c r="DH18" s="11"/>
      <c r="DI18" s="11"/>
      <c r="DJ18" s="11"/>
      <c r="DK18" s="11"/>
      <c r="DL18" s="11"/>
      <c r="DM18" s="11"/>
      <c r="DN18" s="11"/>
      <c r="DO18" s="11"/>
      <c r="DP18" s="11"/>
      <c r="DQ18" s="11"/>
      <c r="DR18" s="11"/>
      <c r="DS18" s="11"/>
      <c r="DT18" s="11"/>
      <c r="DU18" s="11"/>
      <c r="DV18" s="11"/>
      <c r="DW18" s="11"/>
      <c r="DX18" s="11"/>
    </row>
    <row r="19" ht="15.6" customHeight="1">
      <c r="A19" s="27"/>
      <c r="B19" s="296">
        <v>9</v>
      </c>
      <c r="C19" s="308"/>
      <c r="D19" s="309"/>
      <c r="E19" s="299"/>
      <c r="F19" s="310"/>
      <c r="G19" s="301"/>
      <c r="H19" s="299"/>
      <c r="I19" s="302"/>
      <c r="J19" s="303"/>
      <c r="K19" s="303"/>
      <c r="L19" t="s" s="311">
        <f>IF(C19="","",_xlfn.IFERROR(IF(I19="","",((I19/10000)*V19*X19)*AD19),"Error ▲"))</f>
      </c>
      <c r="M19" t="s" s="311">
        <f>IF(I19="","",IF(J19+K19&gt;I19,"Area Error ▲",I19-J19-K19))</f>
      </c>
      <c r="N19" t="s" s="311">
        <f>_xlfn.IFERROR(IF(I19="","",IF(M19="Area Error ▲","Area Error ▲",((M19/10000)*V19*X19)*AD19)),"This intervention is not permitted within the SSM ▲")</f>
      </c>
      <c r="O19" s="312"/>
      <c r="P19" s="307"/>
      <c r="Q19" s="33"/>
      <c r="R19" s="219"/>
      <c r="S19" s="228"/>
      <c r="T19" t="s" s="285">
        <f>IF(C19="","",VLOOKUP(D19,'9. All Habitats + Multipliers'!$C$4:$K$102,5,FALSE))</f>
      </c>
      <c r="U19" s="286"/>
      <c r="V19" t="s" s="313">
        <f>IF(T19="","",VLOOKUP(T19,'11. Lists'!$B$47:$D$49,2,FALSE))</f>
      </c>
      <c r="W19" t="s" s="285">
        <f>IF(C19="","",VLOOKUP(D19,'10. Condition and Temporal'!$B$6:$C$103,2,FALSE))</f>
      </c>
      <c r="X19" t="s" s="313">
        <f>IF(W19="","",VLOOKUP(W19,'11. Lists'!$F$47:$G$51,2,FALSE))</f>
      </c>
      <c r="Y19" s="288"/>
      <c r="Z19" s="289"/>
      <c r="AA19" s="290"/>
      <c r="AB19" t="s" s="285">
        <f>IF(F19="","",F19)</f>
      </c>
      <c r="AC19" t="s" s="291">
        <f>IF(AB19="","",VLOOKUP(AB19,'11. Lists'!$F$36:$H$38,2,FALSE))</f>
      </c>
      <c r="AD19" t="s" s="313">
        <f>IF(AB19="","",VLOOKUP(AB19,'11. Lists'!$F$36:$H$38,3,FALSE))</f>
      </c>
      <c r="AE19" t="s" s="285">
        <f>IF(D19="","",((J19/10000)*V19*X19)*AD19)</f>
      </c>
      <c r="AF19" t="s" s="291">
        <f>IF(D19="","",((K19/10000)*V19*X19)*AD19)</f>
      </c>
      <c r="AG19" t="s" s="313">
        <f>IF(D19="","",M19)</f>
      </c>
      <c r="AH19" t="s" s="295">
        <f>IF(T19="","",VLOOKUP(T19,'11. Lists'!$B$47:$D$49,3,FALSE))</f>
      </c>
      <c r="AI19" t="s" s="295">
        <f>IF(D19="","",VLOOKUP(D19,'10. Condition and Temporal'!$B$6:$L$103,4,FALSE))</f>
      </c>
      <c r="AJ19" s="33"/>
      <c r="AK19" s="11"/>
      <c r="AL19" s="11"/>
      <c r="AM19" s="11"/>
      <c r="AN19" s="11"/>
      <c r="AO19" s="11"/>
      <c r="AP19" s="11"/>
      <c r="AQ19" s="11"/>
      <c r="AR19" s="11"/>
      <c r="AS19" s="11"/>
      <c r="AT19" s="11"/>
      <c r="AU19" s="11"/>
      <c r="AV19" s="11"/>
      <c r="AW19" s="11"/>
      <c r="AX19" s="11"/>
      <c r="AY19" s="11"/>
      <c r="AZ19" s="11"/>
      <c r="BA19" s="11"/>
      <c r="BB19" s="11"/>
      <c r="BC19" s="11"/>
      <c r="BD19" s="11"/>
      <c r="BE19" s="11"/>
      <c r="BF19" s="11"/>
      <c r="BG19" s="11"/>
      <c r="BH19" s="11"/>
      <c r="BI19" s="11"/>
      <c r="BJ19" s="11"/>
      <c r="BK19" s="11"/>
      <c r="BL19" s="11"/>
      <c r="BM19" s="11"/>
      <c r="BN19" s="11"/>
      <c r="BO19" s="11"/>
      <c r="BP19" s="11"/>
      <c r="BQ19" s="11"/>
      <c r="BR19" s="11"/>
      <c r="BS19" s="11"/>
      <c r="BT19" s="11"/>
      <c r="BU19" s="11"/>
      <c r="BV19" s="11"/>
      <c r="BW19" s="11"/>
      <c r="BX19" s="11"/>
      <c r="BY19" s="11"/>
      <c r="BZ19" s="11"/>
      <c r="CA19" s="11"/>
      <c r="CB19" s="11"/>
      <c r="CC19" s="11"/>
      <c r="CD19" s="11"/>
      <c r="CE19" s="11"/>
      <c r="CF19" s="11"/>
      <c r="CG19" s="11"/>
      <c r="CH19" s="11"/>
      <c r="CI19" s="11"/>
      <c r="CJ19" s="11"/>
      <c r="CK19" s="11"/>
      <c r="CL19" s="11"/>
      <c r="CM19" s="11"/>
      <c r="CN19" s="11"/>
      <c r="CO19" s="11"/>
      <c r="CP19" s="11"/>
      <c r="CQ19" s="11"/>
      <c r="CR19" s="11"/>
      <c r="CS19" s="11"/>
      <c r="CT19" s="11"/>
      <c r="CU19" s="11"/>
      <c r="CV19" s="11"/>
      <c r="CW19" s="11"/>
      <c r="CX19" s="11"/>
      <c r="CY19" s="11"/>
      <c r="CZ19" s="11"/>
      <c r="DA19" s="11"/>
      <c r="DB19" s="11"/>
      <c r="DC19" s="11"/>
      <c r="DD19" s="11"/>
      <c r="DE19" s="11"/>
      <c r="DF19" s="11"/>
      <c r="DG19" s="11"/>
      <c r="DH19" s="11"/>
      <c r="DI19" s="11"/>
      <c r="DJ19" s="11"/>
      <c r="DK19" s="11"/>
      <c r="DL19" s="11"/>
      <c r="DM19" s="11"/>
      <c r="DN19" s="11"/>
      <c r="DO19" s="11"/>
      <c r="DP19" s="11"/>
      <c r="DQ19" s="11"/>
      <c r="DR19" s="11"/>
      <c r="DS19" s="11"/>
      <c r="DT19" s="11"/>
      <c r="DU19" s="11"/>
      <c r="DV19" s="11"/>
      <c r="DW19" s="11"/>
      <c r="DX19" s="11"/>
    </row>
    <row r="20" ht="15.6" customHeight="1">
      <c r="A20" s="27"/>
      <c r="B20" s="296">
        <v>10</v>
      </c>
      <c r="C20" s="308"/>
      <c r="D20" s="309"/>
      <c r="E20" s="299"/>
      <c r="F20" s="310"/>
      <c r="G20" s="301"/>
      <c r="H20" s="299"/>
      <c r="I20" s="302"/>
      <c r="J20" s="303"/>
      <c r="K20" s="303"/>
      <c r="L20" t="s" s="311">
        <f>IF(C20="","",_xlfn.IFERROR(IF(I20="","",((I20/10000)*V20*X20)*AD20),"Error ▲"))</f>
      </c>
      <c r="M20" t="s" s="311">
        <f>IF(I20="","",IF(J20+K20&gt;I20,"Area Error ▲",I20-J20-K20))</f>
      </c>
      <c r="N20" t="s" s="311">
        <f>_xlfn.IFERROR(IF(I20="","",IF(M20="Area Error ▲","Area Error ▲",((M20/10000)*V20*X20)*AD20)),"This intervention is not permitted within the SSM ▲")</f>
      </c>
      <c r="O20" s="312"/>
      <c r="P20" s="307"/>
      <c r="Q20" s="33"/>
      <c r="R20" s="219"/>
      <c r="S20" s="228"/>
      <c r="T20" t="s" s="285">
        <f>IF(C20="","",VLOOKUP(D20,'9. All Habitats + Multipliers'!$C$4:$K$102,5,FALSE))</f>
      </c>
      <c r="U20" s="286"/>
      <c r="V20" t="s" s="313">
        <f>IF(T20="","",VLOOKUP(T20,'11. Lists'!$B$47:$D$49,2,FALSE))</f>
      </c>
      <c r="W20" t="s" s="285">
        <f>IF(C20="","",VLOOKUP(D20,'10. Condition and Temporal'!$B$6:$C$103,2,FALSE))</f>
      </c>
      <c r="X20" t="s" s="313">
        <f>IF(W20="","",VLOOKUP(W20,'11. Lists'!$F$47:$G$51,2,FALSE))</f>
      </c>
      <c r="Y20" s="288"/>
      <c r="Z20" s="289"/>
      <c r="AA20" s="290"/>
      <c r="AB20" t="s" s="285">
        <f>IF(F20="","",F20)</f>
      </c>
      <c r="AC20" t="s" s="291">
        <f>IF(AB20="","",VLOOKUP(AB20,'11. Lists'!$F$36:$H$38,2,FALSE))</f>
      </c>
      <c r="AD20" t="s" s="313">
        <f>IF(AB20="","",VLOOKUP(AB20,'11. Lists'!$F$36:$H$38,3,FALSE))</f>
      </c>
      <c r="AE20" t="s" s="285">
        <f>IF(D20="","",((J20/10000)*V20*X20)*AD20)</f>
      </c>
      <c r="AF20" t="s" s="291">
        <f>IF(D20="","",((K20/10000)*V20*X20)*AD20)</f>
      </c>
      <c r="AG20" t="s" s="313">
        <f>IF(D20="","",M20)</f>
      </c>
      <c r="AH20" t="s" s="295">
        <f>IF(T20="","",VLOOKUP(T20,'11. Lists'!$B$47:$D$49,3,FALSE))</f>
      </c>
      <c r="AI20" t="s" s="295">
        <f>IF(D20="","",VLOOKUP(D20,'10. Condition and Temporal'!$B$6:$L$103,4,FALSE))</f>
      </c>
      <c r="AJ20" s="33"/>
      <c r="AK20" s="11"/>
      <c r="AL20" s="11"/>
      <c r="AM20" s="11"/>
      <c r="AN20" s="11"/>
      <c r="AO20" s="11"/>
      <c r="AP20" s="11"/>
      <c r="AQ20" s="11"/>
      <c r="AR20" s="11"/>
      <c r="AS20" s="11"/>
      <c r="AT20" s="11"/>
      <c r="AU20" s="11"/>
      <c r="AV20" s="11"/>
      <c r="AW20" s="11"/>
      <c r="AX20" s="11"/>
      <c r="AY20" s="11"/>
      <c r="AZ20" s="11"/>
      <c r="BA20" s="11"/>
      <c r="BB20" s="11"/>
      <c r="BC20" s="11"/>
      <c r="BD20" s="11"/>
      <c r="BE20" s="11"/>
      <c r="BF20" s="11"/>
      <c r="BG20" s="11"/>
      <c r="BH20" s="11"/>
      <c r="BI20" s="11"/>
      <c r="BJ20" s="11"/>
      <c r="BK20" s="11"/>
      <c r="BL20" s="11"/>
      <c r="BM20" s="11"/>
      <c r="BN20" s="11"/>
      <c r="BO20" s="11"/>
      <c r="BP20" s="11"/>
      <c r="BQ20" s="11"/>
      <c r="BR20" s="11"/>
      <c r="BS20" s="11"/>
      <c r="BT20" s="11"/>
      <c r="BU20" s="11"/>
      <c r="BV20" s="11"/>
      <c r="BW20" s="11"/>
      <c r="BX20" s="11"/>
      <c r="BY20" s="11"/>
      <c r="BZ20" s="11"/>
      <c r="CA20" s="11"/>
      <c r="CB20" s="11"/>
      <c r="CC20" s="11"/>
      <c r="CD20" s="11"/>
      <c r="CE20" s="11"/>
      <c r="CF20" s="11"/>
      <c r="CG20" s="11"/>
      <c r="CH20" s="11"/>
      <c r="CI20" s="11"/>
      <c r="CJ20" s="11"/>
      <c r="CK20" s="11"/>
      <c r="CL20" s="11"/>
      <c r="CM20" s="11"/>
      <c r="CN20" s="11"/>
      <c r="CO20" s="11"/>
      <c r="CP20" s="11"/>
      <c r="CQ20" s="11"/>
      <c r="CR20" s="11"/>
      <c r="CS20" s="11"/>
      <c r="CT20" s="11"/>
      <c r="CU20" s="11"/>
      <c r="CV20" s="11"/>
      <c r="CW20" s="11"/>
      <c r="CX20" s="11"/>
      <c r="CY20" s="11"/>
      <c r="CZ20" s="11"/>
      <c r="DA20" s="11"/>
      <c r="DB20" s="11"/>
      <c r="DC20" s="11"/>
      <c r="DD20" s="11"/>
      <c r="DE20" s="11"/>
      <c r="DF20" s="11"/>
      <c r="DG20" s="11"/>
      <c r="DH20" s="11"/>
      <c r="DI20" s="11"/>
      <c r="DJ20" s="11"/>
      <c r="DK20" s="11"/>
      <c r="DL20" s="11"/>
      <c r="DM20" s="11"/>
      <c r="DN20" s="11"/>
      <c r="DO20" s="11"/>
      <c r="DP20" s="11"/>
      <c r="DQ20" s="11"/>
      <c r="DR20" s="11"/>
      <c r="DS20" s="11"/>
      <c r="DT20" s="11"/>
      <c r="DU20" s="11"/>
      <c r="DV20" s="11"/>
      <c r="DW20" s="11"/>
      <c r="DX20" s="11"/>
    </row>
    <row r="21" ht="15.6" customHeight="1">
      <c r="A21" s="27"/>
      <c r="B21" s="296">
        <v>11</v>
      </c>
      <c r="C21" s="308"/>
      <c r="D21" s="309"/>
      <c r="E21" s="299"/>
      <c r="F21" s="310"/>
      <c r="G21" s="301"/>
      <c r="H21" s="299"/>
      <c r="I21" s="302"/>
      <c r="J21" s="303"/>
      <c r="K21" s="303"/>
      <c r="L21" t="s" s="311">
        <f>IF(C21="","",_xlfn.IFERROR(IF(I21="","",((I21/10000)*V21*X21)*AD21),"Error ▲"))</f>
      </c>
      <c r="M21" t="s" s="311">
        <f>IF(I21="","",IF(J21+K21&gt;I21,"Area Error ▲",I21-J21-K21))</f>
      </c>
      <c r="N21" t="s" s="311">
        <f>_xlfn.IFERROR(IF(I21="","",IF(M21="Area Error ▲","Area Error ▲",((M21/10000)*V21*X21)*AD21)),"This intervention is not permitted within the SSM ▲")</f>
      </c>
      <c r="O21" s="312"/>
      <c r="P21" s="307"/>
      <c r="Q21" s="33"/>
      <c r="R21" s="219"/>
      <c r="S21" s="228"/>
      <c r="T21" t="s" s="285">
        <f>IF(C21="","",VLOOKUP(D21,'9. All Habitats + Multipliers'!$C$4:$K$102,5,FALSE))</f>
      </c>
      <c r="U21" s="286"/>
      <c r="V21" t="s" s="313">
        <f>IF(T21="","",VLOOKUP(T21,'11. Lists'!$B$47:$D$49,2,FALSE))</f>
      </c>
      <c r="W21" t="s" s="285">
        <f>IF(C21="","",VLOOKUP(D21,'10. Condition and Temporal'!$B$6:$C$103,2,FALSE))</f>
      </c>
      <c r="X21" t="s" s="313">
        <f>IF(W21="","",VLOOKUP(W21,'11. Lists'!$F$47:$G$51,2,FALSE))</f>
      </c>
      <c r="Y21" s="288"/>
      <c r="Z21" s="289"/>
      <c r="AA21" s="290"/>
      <c r="AB21" t="s" s="285">
        <f>IF(F21="","",F21)</f>
      </c>
      <c r="AC21" t="s" s="291">
        <f>IF(AB21="","",VLOOKUP(AB21,'11. Lists'!$F$36:$H$38,2,FALSE))</f>
      </c>
      <c r="AD21" t="s" s="313">
        <f>IF(AB21="","",VLOOKUP(AB21,'11. Lists'!$F$36:$H$38,3,FALSE))</f>
      </c>
      <c r="AE21" t="s" s="285">
        <f>IF(D21="","",((J21/10000)*V21*X21)*AD21)</f>
      </c>
      <c r="AF21" t="s" s="291">
        <f>IF(D21="","",((K21/10000)*V21*X21)*AD21)</f>
      </c>
      <c r="AG21" t="s" s="313">
        <f>IF(D21="","",M21)</f>
      </c>
      <c r="AH21" t="s" s="295">
        <f>IF(T21="","",VLOOKUP(T21,'11. Lists'!$B$47:$D$49,3,FALSE))</f>
      </c>
      <c r="AI21" t="s" s="295">
        <f>IF(D21="","",VLOOKUP(D21,'10. Condition and Temporal'!$B$6:$L$103,4,FALSE))</f>
      </c>
      <c r="AJ21" s="33"/>
      <c r="AK21" s="11"/>
      <c r="AL21" s="11"/>
      <c r="AM21" s="11"/>
      <c r="AN21" s="11"/>
      <c r="AO21" s="11"/>
      <c r="AP21" s="11"/>
      <c r="AQ21" s="11"/>
      <c r="AR21" s="11"/>
      <c r="AS21" s="11"/>
      <c r="AT21" s="11"/>
      <c r="AU21" s="11"/>
      <c r="AV21" s="11"/>
      <c r="AW21" s="11"/>
      <c r="AX21" s="11"/>
      <c r="AY21" s="11"/>
      <c r="AZ21" s="11"/>
      <c r="BA21" s="11"/>
      <c r="BB21" s="11"/>
      <c r="BC21" s="11"/>
      <c r="BD21" s="11"/>
      <c r="BE21" s="11"/>
      <c r="BF21" s="11"/>
      <c r="BG21" s="11"/>
      <c r="BH21" s="11"/>
      <c r="BI21" s="11"/>
      <c r="BJ21" s="11"/>
      <c r="BK21" s="11"/>
      <c r="BL21" s="11"/>
      <c r="BM21" s="11"/>
      <c r="BN21" s="11"/>
      <c r="BO21" s="11"/>
      <c r="BP21" s="11"/>
      <c r="BQ21" s="11"/>
      <c r="BR21" s="11"/>
      <c r="BS21" s="11"/>
      <c r="BT21" s="11"/>
      <c r="BU21" s="11"/>
      <c r="BV21" s="11"/>
      <c r="BW21" s="11"/>
      <c r="BX21" s="11"/>
      <c r="BY21" s="11"/>
      <c r="BZ21" s="11"/>
      <c r="CA21" s="11"/>
      <c r="CB21" s="11"/>
      <c r="CC21" s="11"/>
      <c r="CD21" s="11"/>
      <c r="CE21" s="11"/>
      <c r="CF21" s="11"/>
      <c r="CG21" s="11"/>
      <c r="CH21" s="11"/>
      <c r="CI21" s="11"/>
      <c r="CJ21" s="11"/>
      <c r="CK21" s="11"/>
      <c r="CL21" s="11"/>
      <c r="CM21" s="11"/>
      <c r="CN21" s="11"/>
      <c r="CO21" s="11"/>
      <c r="CP21" s="11"/>
      <c r="CQ21" s="11"/>
      <c r="CR21" s="11"/>
      <c r="CS21" s="11"/>
      <c r="CT21" s="11"/>
      <c r="CU21" s="11"/>
      <c r="CV21" s="11"/>
      <c r="CW21" s="11"/>
      <c r="CX21" s="11"/>
      <c r="CY21" s="11"/>
      <c r="CZ21" s="11"/>
      <c r="DA21" s="11"/>
      <c r="DB21" s="11"/>
      <c r="DC21" s="11"/>
      <c r="DD21" s="11"/>
      <c r="DE21" s="11"/>
      <c r="DF21" s="11"/>
      <c r="DG21" s="11"/>
      <c r="DH21" s="11"/>
      <c r="DI21" s="11"/>
      <c r="DJ21" s="11"/>
      <c r="DK21" s="11"/>
      <c r="DL21" s="11"/>
      <c r="DM21" s="11"/>
      <c r="DN21" s="11"/>
      <c r="DO21" s="11"/>
      <c r="DP21" s="11"/>
      <c r="DQ21" s="11"/>
      <c r="DR21" s="11"/>
      <c r="DS21" s="11"/>
      <c r="DT21" s="11"/>
      <c r="DU21" s="11"/>
      <c r="DV21" s="11"/>
      <c r="DW21" s="11"/>
      <c r="DX21" s="11"/>
    </row>
    <row r="22" ht="15.6" customHeight="1">
      <c r="A22" s="27"/>
      <c r="B22" s="296">
        <v>12</v>
      </c>
      <c r="C22" s="308"/>
      <c r="D22" s="309"/>
      <c r="E22" s="299"/>
      <c r="F22" s="310"/>
      <c r="G22" s="301"/>
      <c r="H22" s="299"/>
      <c r="I22" s="302"/>
      <c r="J22" s="303"/>
      <c r="K22" s="303"/>
      <c r="L22" t="s" s="311">
        <f>IF(C22="","",_xlfn.IFERROR(IF(I22="","",((I22/10000)*V22*X22)*AD22),"Error ▲"))</f>
      </c>
      <c r="M22" t="s" s="311">
        <f>IF(I22="","",IF(J22+K22&gt;I22,"Area Error ▲",I22-J22-K22))</f>
      </c>
      <c r="N22" t="s" s="311">
        <f>_xlfn.IFERROR(IF(I22="","",IF(M22="Area Error ▲","Area Error ▲",((M22/10000)*V22*X22)*AD22)),"This intervention is not permitted within the SSM ▲")</f>
      </c>
      <c r="O22" s="312"/>
      <c r="P22" s="307"/>
      <c r="Q22" s="33"/>
      <c r="R22" s="219"/>
      <c r="S22" s="228"/>
      <c r="T22" t="s" s="285">
        <f>IF(C22="","",VLOOKUP(D22,'9. All Habitats + Multipliers'!$C$4:$K$102,5,FALSE))</f>
      </c>
      <c r="U22" s="286"/>
      <c r="V22" t="s" s="313">
        <f>IF(T22="","",VLOOKUP(T22,'11. Lists'!$B$47:$D$49,2,FALSE))</f>
      </c>
      <c r="W22" t="s" s="285">
        <f>IF(C22="","",VLOOKUP(D22,'10. Condition and Temporal'!$B$6:$C$103,2,FALSE))</f>
      </c>
      <c r="X22" t="s" s="313">
        <f>IF(W22="","",VLOOKUP(W22,'11. Lists'!$F$47:$G$51,2,FALSE))</f>
      </c>
      <c r="Y22" s="288"/>
      <c r="Z22" s="289"/>
      <c r="AA22" s="290"/>
      <c r="AB22" t="s" s="285">
        <f>IF(F22="","",F22)</f>
      </c>
      <c r="AC22" t="s" s="291">
        <f>IF(AB22="","",VLOOKUP(AB22,'11. Lists'!$F$36:$H$38,2,FALSE))</f>
      </c>
      <c r="AD22" t="s" s="313">
        <f>IF(AB22="","",VLOOKUP(AB22,'11. Lists'!$F$36:$H$38,3,FALSE))</f>
      </c>
      <c r="AE22" t="s" s="285">
        <f>IF(D22="","",((J22/10000)*V22*X22)*AD22)</f>
      </c>
      <c r="AF22" t="s" s="291">
        <f>IF(D22="","",((K22/10000)*V22*X22)*AD22)</f>
      </c>
      <c r="AG22" t="s" s="313">
        <f>IF(D22="","",M22)</f>
      </c>
      <c r="AH22" t="s" s="295">
        <f>IF(T22="","",VLOOKUP(T22,'11. Lists'!$B$47:$D$49,3,FALSE))</f>
      </c>
      <c r="AI22" t="s" s="295">
        <f>IF(D22="","",VLOOKUP(D22,'10. Condition and Temporal'!$B$6:$L$103,4,FALSE))</f>
      </c>
      <c r="AJ22" s="33"/>
      <c r="AK22" s="11"/>
      <c r="AL22" s="11"/>
      <c r="AM22" s="11"/>
      <c r="AN22" s="11"/>
      <c r="AO22" s="11"/>
      <c r="AP22" s="11"/>
      <c r="AQ22" s="11"/>
      <c r="AR22" s="11"/>
      <c r="AS22" s="11"/>
      <c r="AT22" s="11"/>
      <c r="AU22" s="11"/>
      <c r="AV22" s="11"/>
      <c r="AW22" s="11"/>
      <c r="AX22" s="11"/>
      <c r="AY22" s="11"/>
      <c r="AZ22" s="11"/>
      <c r="BA22" s="11"/>
      <c r="BB22" s="11"/>
      <c r="BC22" s="11"/>
      <c r="BD22" s="11"/>
      <c r="BE22" s="11"/>
      <c r="BF22" s="11"/>
      <c r="BG22" s="11"/>
      <c r="BH22" s="11"/>
      <c r="BI22" s="11"/>
      <c r="BJ22" s="11"/>
      <c r="BK22" s="11"/>
      <c r="BL22" s="11"/>
      <c r="BM22" s="11"/>
      <c r="BN22" s="11"/>
      <c r="BO22" s="11"/>
      <c r="BP22" s="11"/>
      <c r="BQ22" s="11"/>
      <c r="BR22" s="11"/>
      <c r="BS22" s="11"/>
      <c r="BT22" s="11"/>
      <c r="BU22" s="11"/>
      <c r="BV22" s="11"/>
      <c r="BW22" s="11"/>
      <c r="BX22" s="11"/>
      <c r="BY22" s="11"/>
      <c r="BZ22" s="11"/>
      <c r="CA22" s="11"/>
      <c r="CB22" s="11"/>
      <c r="CC22" s="11"/>
      <c r="CD22" s="11"/>
      <c r="CE22" s="11"/>
      <c r="CF22" s="11"/>
      <c r="CG22" s="11"/>
      <c r="CH22" s="11"/>
      <c r="CI22" s="11"/>
      <c r="CJ22" s="11"/>
      <c r="CK22" s="11"/>
      <c r="CL22" s="11"/>
      <c r="CM22" s="11"/>
      <c r="CN22" s="11"/>
      <c r="CO22" s="11"/>
      <c r="CP22" s="11"/>
      <c r="CQ22" s="11"/>
      <c r="CR22" s="11"/>
      <c r="CS22" s="11"/>
      <c r="CT22" s="11"/>
      <c r="CU22" s="11"/>
      <c r="CV22" s="11"/>
      <c r="CW22" s="11"/>
      <c r="CX22" s="11"/>
      <c r="CY22" s="11"/>
      <c r="CZ22" s="11"/>
      <c r="DA22" s="11"/>
      <c r="DB22" s="11"/>
      <c r="DC22" s="11"/>
      <c r="DD22" s="11"/>
      <c r="DE22" s="11"/>
      <c r="DF22" s="11"/>
      <c r="DG22" s="11"/>
      <c r="DH22" s="11"/>
      <c r="DI22" s="11"/>
      <c r="DJ22" s="11"/>
      <c r="DK22" s="11"/>
      <c r="DL22" s="11"/>
      <c r="DM22" s="11"/>
      <c r="DN22" s="11"/>
      <c r="DO22" s="11"/>
      <c r="DP22" s="11"/>
      <c r="DQ22" s="11"/>
      <c r="DR22" s="11"/>
      <c r="DS22" s="11"/>
      <c r="DT22" s="11"/>
      <c r="DU22" s="11"/>
      <c r="DV22" s="11"/>
      <c r="DW22" s="11"/>
      <c r="DX22" s="11"/>
    </row>
    <row r="23" ht="15.6" customHeight="1">
      <c r="A23" s="27"/>
      <c r="B23" s="296">
        <v>13</v>
      </c>
      <c r="C23" s="308"/>
      <c r="D23" s="309"/>
      <c r="E23" s="299"/>
      <c r="F23" s="310"/>
      <c r="G23" s="301"/>
      <c r="H23" s="299"/>
      <c r="I23" s="302"/>
      <c r="J23" s="303"/>
      <c r="K23" s="303"/>
      <c r="L23" t="s" s="311">
        <f>IF(C23="","",_xlfn.IFERROR(IF(I23="","",((I23/10000)*V23*X23)*AD23),"Error ▲"))</f>
      </c>
      <c r="M23" t="s" s="311">
        <f>IF(I23="","",IF(J23+K23&gt;I23,"Area Error ▲",I23-J23-K23))</f>
      </c>
      <c r="N23" t="s" s="311">
        <f>_xlfn.IFERROR(IF(I23="","",IF(M23="Area Error ▲","Area Error ▲",((M23/10000)*V23*X23)*AD23)),"This intervention is not permitted within the SSM ▲")</f>
      </c>
      <c r="O23" s="312"/>
      <c r="P23" s="307"/>
      <c r="Q23" s="33"/>
      <c r="R23" s="219"/>
      <c r="S23" s="228"/>
      <c r="T23" t="s" s="285">
        <f>IF(C23="","",VLOOKUP(D23,'9. All Habitats + Multipliers'!$C$4:$K$102,5,FALSE))</f>
      </c>
      <c r="U23" s="286"/>
      <c r="V23" t="s" s="313">
        <f>IF(T23="","",VLOOKUP(T23,'11. Lists'!$B$47:$D$49,2,FALSE))</f>
      </c>
      <c r="W23" t="s" s="285">
        <f>IF(C23="","",VLOOKUP(D23,'10. Condition and Temporal'!$B$6:$C$103,2,FALSE))</f>
      </c>
      <c r="X23" t="s" s="313">
        <f>IF(W23="","",VLOOKUP(W23,'11. Lists'!$F$47:$G$51,2,FALSE))</f>
      </c>
      <c r="Y23" s="288"/>
      <c r="Z23" s="289"/>
      <c r="AA23" s="290"/>
      <c r="AB23" t="s" s="285">
        <f>IF(F23="","",F23)</f>
      </c>
      <c r="AC23" t="s" s="291">
        <f>IF(AB23="","",VLOOKUP(AB23,'11. Lists'!$F$36:$H$38,2,FALSE))</f>
      </c>
      <c r="AD23" t="s" s="313">
        <f>IF(AB23="","",VLOOKUP(AB23,'11. Lists'!$F$36:$H$38,3,FALSE))</f>
      </c>
      <c r="AE23" t="s" s="285">
        <f>IF(D23="","",((J23/10000)*V23*X23)*AD23)</f>
      </c>
      <c r="AF23" t="s" s="291">
        <f>IF(D23="","",((K23/10000)*V23*X23)*AD23)</f>
      </c>
      <c r="AG23" t="s" s="313">
        <f>IF(D23="","",M23)</f>
      </c>
      <c r="AH23" t="s" s="295">
        <f>IF(T23="","",VLOOKUP(T23,'11. Lists'!$B$47:$D$49,3,FALSE))</f>
      </c>
      <c r="AI23" t="s" s="295">
        <f>IF(D23="","",VLOOKUP(D23,'10. Condition and Temporal'!$B$6:$L$103,4,FALSE))</f>
      </c>
      <c r="AJ23" s="33"/>
      <c r="AK23" s="11"/>
      <c r="AL23" s="11"/>
      <c r="AM23" s="11"/>
      <c r="AN23" s="11"/>
      <c r="AO23" s="11"/>
      <c r="AP23" s="11"/>
      <c r="AQ23" s="11"/>
      <c r="AR23" s="11"/>
      <c r="AS23" s="11"/>
      <c r="AT23" s="11"/>
      <c r="AU23" s="11"/>
      <c r="AV23" s="11"/>
      <c r="AW23" s="11"/>
      <c r="AX23" s="11"/>
      <c r="AY23" s="11"/>
      <c r="AZ23" s="11"/>
      <c r="BA23" s="11"/>
      <c r="BB23" s="11"/>
      <c r="BC23" s="11"/>
      <c r="BD23" s="11"/>
      <c r="BE23" s="11"/>
      <c r="BF23" s="11"/>
      <c r="BG23" s="11"/>
      <c r="BH23" s="11"/>
      <c r="BI23" s="11"/>
      <c r="BJ23" s="11"/>
      <c r="BK23" s="11"/>
      <c r="BL23" s="11"/>
      <c r="BM23" s="11"/>
      <c r="BN23" s="11"/>
      <c r="BO23" s="11"/>
      <c r="BP23" s="11"/>
      <c r="BQ23" s="11"/>
      <c r="BR23" s="11"/>
      <c r="BS23" s="11"/>
      <c r="BT23" s="11"/>
      <c r="BU23" s="11"/>
      <c r="BV23" s="11"/>
      <c r="BW23" s="11"/>
      <c r="BX23" s="11"/>
      <c r="BY23" s="11"/>
      <c r="BZ23" s="11"/>
      <c r="CA23" s="11"/>
      <c r="CB23" s="11"/>
      <c r="CC23" s="11"/>
      <c r="CD23" s="11"/>
      <c r="CE23" s="11"/>
      <c r="CF23" s="11"/>
      <c r="CG23" s="11"/>
      <c r="CH23" s="11"/>
      <c r="CI23" s="11"/>
      <c r="CJ23" s="11"/>
      <c r="CK23" s="11"/>
      <c r="CL23" s="11"/>
      <c r="CM23" s="11"/>
      <c r="CN23" s="11"/>
      <c r="CO23" s="11"/>
      <c r="CP23" s="11"/>
      <c r="CQ23" s="11"/>
      <c r="CR23" s="11"/>
      <c r="CS23" s="11"/>
      <c r="CT23" s="11"/>
      <c r="CU23" s="11"/>
      <c r="CV23" s="11"/>
      <c r="CW23" s="11"/>
      <c r="CX23" s="11"/>
      <c r="CY23" s="11"/>
      <c r="CZ23" s="11"/>
      <c r="DA23" s="11"/>
      <c r="DB23" s="11"/>
      <c r="DC23" s="11"/>
      <c r="DD23" s="11"/>
      <c r="DE23" s="11"/>
      <c r="DF23" s="11"/>
      <c r="DG23" s="11"/>
      <c r="DH23" s="11"/>
      <c r="DI23" s="11"/>
      <c r="DJ23" s="11"/>
      <c r="DK23" s="11"/>
      <c r="DL23" s="11"/>
      <c r="DM23" s="11"/>
      <c r="DN23" s="11"/>
      <c r="DO23" s="11"/>
      <c r="DP23" s="11"/>
      <c r="DQ23" s="11"/>
      <c r="DR23" s="11"/>
      <c r="DS23" s="11"/>
      <c r="DT23" s="11"/>
      <c r="DU23" s="11"/>
      <c r="DV23" s="11"/>
      <c r="DW23" s="11"/>
      <c r="DX23" s="11"/>
    </row>
    <row r="24" ht="15.6" customHeight="1">
      <c r="A24" s="27"/>
      <c r="B24" s="296">
        <v>14</v>
      </c>
      <c r="C24" s="308"/>
      <c r="D24" s="309"/>
      <c r="E24" s="299"/>
      <c r="F24" s="310"/>
      <c r="G24" s="301"/>
      <c r="H24" s="299"/>
      <c r="I24" s="302"/>
      <c r="J24" s="303"/>
      <c r="K24" s="303"/>
      <c r="L24" t="s" s="311">
        <f>IF(C24="","",_xlfn.IFERROR(IF(I24="","",((I24/10000)*V24*X24)*AD24),"Error ▲"))</f>
      </c>
      <c r="M24" t="s" s="311">
        <f>IF(I24="","",IF(J24+K24&gt;I24,"Area Error ▲",I24-J24-K24))</f>
      </c>
      <c r="N24" t="s" s="311">
        <f>_xlfn.IFERROR(IF(I24="","",IF(M24="Area Error ▲","Area Error ▲",((M24/10000)*V24*X24)*AD24)),"This intervention is not permitted within the SSM ▲")</f>
      </c>
      <c r="O24" s="312"/>
      <c r="P24" s="307"/>
      <c r="Q24" s="33"/>
      <c r="R24" s="219"/>
      <c r="S24" s="228"/>
      <c r="T24" t="s" s="285">
        <f>IF(C24="","",VLOOKUP(D24,'9. All Habitats + Multipliers'!$C$4:$K$102,5,FALSE))</f>
      </c>
      <c r="U24" s="286"/>
      <c r="V24" t="s" s="313">
        <f>IF(T24="","",VLOOKUP(T24,'11. Lists'!$B$47:$D$49,2,FALSE))</f>
      </c>
      <c r="W24" t="s" s="285">
        <f>IF(C24="","",VLOOKUP(D24,'10. Condition and Temporal'!$B$6:$C$103,2,FALSE))</f>
      </c>
      <c r="X24" t="s" s="313">
        <f>IF(W24="","",VLOOKUP(W24,'11. Lists'!$F$47:$G$51,2,FALSE))</f>
      </c>
      <c r="Y24" s="288"/>
      <c r="Z24" s="289"/>
      <c r="AA24" s="290"/>
      <c r="AB24" t="s" s="285">
        <f>IF(F24="","",F24)</f>
      </c>
      <c r="AC24" t="s" s="291">
        <f>IF(AB24="","",VLOOKUP(AB24,'11. Lists'!$F$36:$H$38,2,FALSE))</f>
      </c>
      <c r="AD24" t="s" s="313">
        <f>IF(AB24="","",VLOOKUP(AB24,'11. Lists'!$F$36:$H$38,3,FALSE))</f>
      </c>
      <c r="AE24" t="s" s="285">
        <f>IF(D24="","",((J24/10000)*V24*X24)*AD24)</f>
      </c>
      <c r="AF24" t="s" s="291">
        <f>IF(D24="","",((K24/10000)*V24*X24)*AD24)</f>
      </c>
      <c r="AG24" t="s" s="313">
        <f>IF(D24="","",M24)</f>
      </c>
      <c r="AH24" t="s" s="295">
        <f>IF(T24="","",VLOOKUP(T24,'11. Lists'!$B$47:$D$49,3,FALSE))</f>
      </c>
      <c r="AI24" t="s" s="295">
        <f>IF(D24="","",VLOOKUP(D24,'10. Condition and Temporal'!$B$6:$L$103,4,FALSE))</f>
      </c>
      <c r="AJ24" s="33"/>
      <c r="AK24" s="11"/>
      <c r="AL24" s="11"/>
      <c r="AM24" s="11"/>
      <c r="AN24" s="11"/>
      <c r="AO24" s="11"/>
      <c r="AP24" s="11"/>
      <c r="AQ24" s="11"/>
      <c r="AR24" s="11"/>
      <c r="AS24" s="11"/>
      <c r="AT24" s="11"/>
      <c r="AU24" s="11"/>
      <c r="AV24" s="11"/>
      <c r="AW24" s="11"/>
      <c r="AX24" s="11"/>
      <c r="AY24" s="11"/>
      <c r="AZ24" s="11"/>
      <c r="BA24" s="11"/>
      <c r="BB24" s="11"/>
      <c r="BC24" s="11"/>
      <c r="BD24" s="11"/>
      <c r="BE24" s="11"/>
      <c r="BF24" s="11"/>
      <c r="BG24" s="11"/>
      <c r="BH24" s="11"/>
      <c r="BI24" s="11"/>
      <c r="BJ24" s="11"/>
      <c r="BK24" s="11"/>
      <c r="BL24" s="11"/>
      <c r="BM24" s="11"/>
      <c r="BN24" s="11"/>
      <c r="BO24" s="11"/>
      <c r="BP24" s="11"/>
      <c r="BQ24" s="11"/>
      <c r="BR24" s="11"/>
      <c r="BS24" s="11"/>
      <c r="BT24" s="11"/>
      <c r="BU24" s="11"/>
      <c r="BV24" s="11"/>
      <c r="BW24" s="11"/>
      <c r="BX24" s="11"/>
      <c r="BY24" s="11"/>
      <c r="BZ24" s="11"/>
      <c r="CA24" s="11"/>
      <c r="CB24" s="11"/>
      <c r="CC24" s="11"/>
      <c r="CD24" s="11"/>
      <c r="CE24" s="11"/>
      <c r="CF24" s="11"/>
      <c r="CG24" s="11"/>
      <c r="CH24" s="11"/>
      <c r="CI24" s="11"/>
      <c r="CJ24" s="11"/>
      <c r="CK24" s="11"/>
      <c r="CL24" s="11"/>
      <c r="CM24" s="11"/>
      <c r="CN24" s="11"/>
      <c r="CO24" s="11"/>
      <c r="CP24" s="11"/>
      <c r="CQ24" s="11"/>
      <c r="CR24" s="11"/>
      <c r="CS24" s="11"/>
      <c r="CT24" s="11"/>
      <c r="CU24" s="11"/>
      <c r="CV24" s="11"/>
      <c r="CW24" s="11"/>
      <c r="CX24" s="11"/>
      <c r="CY24" s="11"/>
      <c r="CZ24" s="11"/>
      <c r="DA24" s="11"/>
      <c r="DB24" s="11"/>
      <c r="DC24" s="11"/>
      <c r="DD24" s="11"/>
      <c r="DE24" s="11"/>
      <c r="DF24" s="11"/>
      <c r="DG24" s="11"/>
      <c r="DH24" s="11"/>
      <c r="DI24" s="11"/>
      <c r="DJ24" s="11"/>
      <c r="DK24" s="11"/>
      <c r="DL24" s="11"/>
      <c r="DM24" s="11"/>
      <c r="DN24" s="11"/>
      <c r="DO24" s="11"/>
      <c r="DP24" s="11"/>
      <c r="DQ24" s="11"/>
      <c r="DR24" s="11"/>
      <c r="DS24" s="11"/>
      <c r="DT24" s="11"/>
      <c r="DU24" s="11"/>
      <c r="DV24" s="11"/>
      <c r="DW24" s="11"/>
      <c r="DX24" s="11"/>
    </row>
    <row r="25" ht="15.6" customHeight="1">
      <c r="A25" s="27"/>
      <c r="B25" s="296">
        <v>15</v>
      </c>
      <c r="C25" s="308"/>
      <c r="D25" s="309"/>
      <c r="E25" s="299"/>
      <c r="F25" s="310"/>
      <c r="G25" s="301"/>
      <c r="H25" s="299"/>
      <c r="I25" s="302"/>
      <c r="J25" s="303"/>
      <c r="K25" s="303"/>
      <c r="L25" t="s" s="311">
        <f>IF(C25="","",_xlfn.IFERROR(IF(I25="","",((I25/10000)*V25*X25)*AD25),"Error ▲"))</f>
      </c>
      <c r="M25" t="s" s="311">
        <f>IF(I25="","",IF(J25+K25&gt;I25,"Area Error ▲",I25-J25-K25))</f>
      </c>
      <c r="N25" t="s" s="311">
        <f>_xlfn.IFERROR(IF(I25="","",IF(M25="Area Error ▲","Area Error ▲",((M25/10000)*V25*X25)*AD25)),"This intervention is not permitted within the SSM ▲")</f>
      </c>
      <c r="O25" s="312"/>
      <c r="P25" s="307"/>
      <c r="Q25" s="33"/>
      <c r="R25" s="219"/>
      <c r="S25" s="228"/>
      <c r="T25" t="s" s="285">
        <f>IF(C25="","",VLOOKUP(D25,'9. All Habitats + Multipliers'!$C$4:$K$102,5,FALSE))</f>
      </c>
      <c r="U25" s="286"/>
      <c r="V25" t="s" s="313">
        <f>IF(T25="","",VLOOKUP(T25,'11. Lists'!$B$47:$D$49,2,FALSE))</f>
      </c>
      <c r="W25" t="s" s="285">
        <f>IF(C25="","",VLOOKUP(D25,'10. Condition and Temporal'!$B$6:$C$103,2,FALSE))</f>
      </c>
      <c r="X25" t="s" s="313">
        <f>IF(W25="","",VLOOKUP(W25,'11. Lists'!$F$47:$G$51,2,FALSE))</f>
      </c>
      <c r="Y25" s="288"/>
      <c r="Z25" s="289"/>
      <c r="AA25" s="290"/>
      <c r="AB25" t="s" s="285">
        <f>IF(F25="","",F25)</f>
      </c>
      <c r="AC25" t="s" s="291">
        <f>IF(AB25="","",VLOOKUP(AB25,'11. Lists'!$F$36:$H$38,2,FALSE))</f>
      </c>
      <c r="AD25" t="s" s="313">
        <f>IF(AB25="","",VLOOKUP(AB25,'11. Lists'!$F$36:$H$38,3,FALSE))</f>
      </c>
      <c r="AE25" t="s" s="285">
        <f>IF(D25="","",((J25/10000)*V25*X25)*AD25)</f>
      </c>
      <c r="AF25" t="s" s="291">
        <f>IF(D25="","",((K25/10000)*V25*X25)*AD25)</f>
      </c>
      <c r="AG25" t="s" s="313">
        <f>IF(D25="","",M25)</f>
      </c>
      <c r="AH25" t="s" s="295">
        <f>IF(T25="","",VLOOKUP(T25,'11. Lists'!$B$47:$D$49,3,FALSE))</f>
      </c>
      <c r="AI25" t="s" s="295">
        <f>IF(D25="","",VLOOKUP(D25,'10. Condition and Temporal'!$B$6:$L$103,4,FALSE))</f>
      </c>
      <c r="AJ25" s="33"/>
      <c r="AK25" s="11"/>
      <c r="AL25" s="11"/>
      <c r="AM25" s="11"/>
      <c r="AN25" s="11"/>
      <c r="AO25" s="11"/>
      <c r="AP25" s="11"/>
      <c r="AQ25" s="11"/>
      <c r="AR25" s="11"/>
      <c r="AS25" s="11"/>
      <c r="AT25" s="11"/>
      <c r="AU25" s="11"/>
      <c r="AV25" s="11"/>
      <c r="AW25" s="11"/>
      <c r="AX25" s="11"/>
      <c r="AY25" s="11"/>
      <c r="AZ25" s="11"/>
      <c r="BA25" s="11"/>
      <c r="BB25" s="11"/>
      <c r="BC25" s="11"/>
      <c r="BD25" s="11"/>
      <c r="BE25" s="11"/>
      <c r="BF25" s="11"/>
      <c r="BG25" s="11"/>
      <c r="BH25" s="11"/>
      <c r="BI25" s="11"/>
      <c r="BJ25" s="11"/>
      <c r="BK25" s="11"/>
      <c r="BL25" s="11"/>
      <c r="BM25" s="11"/>
      <c r="BN25" s="11"/>
      <c r="BO25" s="11"/>
      <c r="BP25" s="11"/>
      <c r="BQ25" s="11"/>
      <c r="BR25" s="11"/>
      <c r="BS25" s="11"/>
      <c r="BT25" s="11"/>
      <c r="BU25" s="11"/>
      <c r="BV25" s="11"/>
      <c r="BW25" s="11"/>
      <c r="BX25" s="11"/>
      <c r="BY25" s="11"/>
      <c r="BZ25" s="11"/>
      <c r="CA25" s="11"/>
      <c r="CB25" s="11"/>
      <c r="CC25" s="11"/>
      <c r="CD25" s="11"/>
      <c r="CE25" s="11"/>
      <c r="CF25" s="11"/>
      <c r="CG25" s="11"/>
      <c r="CH25" s="11"/>
      <c r="CI25" s="11"/>
      <c r="CJ25" s="11"/>
      <c r="CK25" s="11"/>
      <c r="CL25" s="11"/>
      <c r="CM25" s="11"/>
      <c r="CN25" s="11"/>
      <c r="CO25" s="11"/>
      <c r="CP25" s="11"/>
      <c r="CQ25" s="11"/>
      <c r="CR25" s="11"/>
      <c r="CS25" s="11"/>
      <c r="CT25" s="11"/>
      <c r="CU25" s="11"/>
      <c r="CV25" s="11"/>
      <c r="CW25" s="11"/>
      <c r="CX25" s="11"/>
      <c r="CY25" s="11"/>
      <c r="CZ25" s="11"/>
      <c r="DA25" s="11"/>
      <c r="DB25" s="11"/>
      <c r="DC25" s="11"/>
      <c r="DD25" s="11"/>
      <c r="DE25" s="11"/>
      <c r="DF25" s="11"/>
      <c r="DG25" s="11"/>
      <c r="DH25" s="11"/>
      <c r="DI25" s="11"/>
      <c r="DJ25" s="11"/>
      <c r="DK25" s="11"/>
      <c r="DL25" s="11"/>
      <c r="DM25" s="11"/>
      <c r="DN25" s="11"/>
      <c r="DO25" s="11"/>
      <c r="DP25" s="11"/>
      <c r="DQ25" s="11"/>
      <c r="DR25" s="11"/>
      <c r="DS25" s="11"/>
      <c r="DT25" s="11"/>
      <c r="DU25" s="11"/>
      <c r="DV25" s="11"/>
      <c r="DW25" s="11"/>
      <c r="DX25" s="11"/>
    </row>
    <row r="26" ht="15.6" customHeight="1">
      <c r="A26" s="27"/>
      <c r="B26" s="296">
        <v>16</v>
      </c>
      <c r="C26" s="308"/>
      <c r="D26" s="309"/>
      <c r="E26" s="299"/>
      <c r="F26" s="310"/>
      <c r="G26" s="301"/>
      <c r="H26" s="299"/>
      <c r="I26" s="302"/>
      <c r="J26" s="303"/>
      <c r="K26" s="303"/>
      <c r="L26" t="s" s="311">
        <f>IF(C26="","",_xlfn.IFERROR(IF(I26="","",((I26/10000)*V26*X26)*AD26),"Error ▲"))</f>
      </c>
      <c r="M26" t="s" s="311">
        <f>IF(I26="","",IF(J26+K26&gt;I26,"Area Error ▲",I26-J26-K26))</f>
      </c>
      <c r="N26" t="s" s="311">
        <f>_xlfn.IFERROR(IF(I26="","",IF(M26="Area Error ▲","Area Error ▲",((M26/10000)*V26*X26)*AD26)),"This intervention is not permitted within the SSM ▲")</f>
      </c>
      <c r="O26" s="312"/>
      <c r="P26" s="307"/>
      <c r="Q26" s="33"/>
      <c r="R26" s="219"/>
      <c r="S26" s="228"/>
      <c r="T26" t="s" s="285">
        <f>IF(C26="","",VLOOKUP(D26,'9. All Habitats + Multipliers'!$C$4:$K$102,5,FALSE))</f>
      </c>
      <c r="U26" s="286"/>
      <c r="V26" t="s" s="313">
        <f>IF(T26="","",VLOOKUP(T26,'11. Lists'!$B$47:$D$49,2,FALSE))</f>
      </c>
      <c r="W26" t="s" s="285">
        <f>IF(C26="","",VLOOKUP(D26,'10. Condition and Temporal'!$B$6:$C$103,2,FALSE))</f>
      </c>
      <c r="X26" t="s" s="313">
        <f>IF(W26="","",VLOOKUP(W26,'11. Lists'!$F$47:$G$51,2,FALSE))</f>
      </c>
      <c r="Y26" s="288"/>
      <c r="Z26" s="289"/>
      <c r="AA26" s="290"/>
      <c r="AB26" t="s" s="285">
        <f>IF(F26="","",F26)</f>
      </c>
      <c r="AC26" t="s" s="291">
        <f>IF(AB26="","",VLOOKUP(AB26,'11. Lists'!$F$36:$H$38,2,FALSE))</f>
      </c>
      <c r="AD26" t="s" s="313">
        <f>IF(AB26="","",VLOOKUP(AB26,'11. Lists'!$F$36:$H$38,3,FALSE))</f>
      </c>
      <c r="AE26" t="s" s="285">
        <f>IF(D26="","",((J26/10000)*V26*X26)*AD26)</f>
      </c>
      <c r="AF26" t="s" s="291">
        <f>IF(D26="","",((K26/10000)*V26*X26)*AD26)</f>
      </c>
      <c r="AG26" t="s" s="313">
        <f>IF(D26="","",M26)</f>
      </c>
      <c r="AH26" t="s" s="295">
        <f>IF(T26="","",VLOOKUP(T26,'11. Lists'!$B$47:$D$49,3,FALSE))</f>
      </c>
      <c r="AI26" t="s" s="295">
        <f>IF(D26="","",VLOOKUP(D26,'10. Condition and Temporal'!$B$6:$L$103,4,FALSE))</f>
      </c>
      <c r="AJ26" s="33"/>
      <c r="AK26" s="11"/>
      <c r="AL26" s="11"/>
      <c r="AM26" s="11"/>
      <c r="AN26" s="11"/>
      <c r="AO26" s="11"/>
      <c r="AP26" s="11"/>
      <c r="AQ26" s="11"/>
      <c r="AR26" s="11"/>
      <c r="AS26" s="11"/>
      <c r="AT26" s="11"/>
      <c r="AU26" s="11"/>
      <c r="AV26" s="11"/>
      <c r="AW26" s="11"/>
      <c r="AX26" s="11"/>
      <c r="AY26" s="11"/>
      <c r="AZ26" s="11"/>
      <c r="BA26" s="11"/>
      <c r="BB26" s="11"/>
      <c r="BC26" s="11"/>
      <c r="BD26" s="11"/>
      <c r="BE26" s="11"/>
      <c r="BF26" s="11"/>
      <c r="BG26" s="11"/>
      <c r="BH26" s="11"/>
      <c r="BI26" s="11"/>
      <c r="BJ26" s="11"/>
      <c r="BK26" s="11"/>
      <c r="BL26" s="11"/>
      <c r="BM26" s="11"/>
      <c r="BN26" s="11"/>
      <c r="BO26" s="11"/>
      <c r="BP26" s="11"/>
      <c r="BQ26" s="11"/>
      <c r="BR26" s="11"/>
      <c r="BS26" s="11"/>
      <c r="BT26" s="11"/>
      <c r="BU26" s="11"/>
      <c r="BV26" s="11"/>
      <c r="BW26" s="11"/>
      <c r="BX26" s="11"/>
      <c r="BY26" s="11"/>
      <c r="BZ26" s="11"/>
      <c r="CA26" s="11"/>
      <c r="CB26" s="11"/>
      <c r="CC26" s="11"/>
      <c r="CD26" s="11"/>
      <c r="CE26" s="11"/>
      <c r="CF26" s="11"/>
      <c r="CG26" s="11"/>
      <c r="CH26" s="11"/>
      <c r="CI26" s="11"/>
      <c r="CJ26" s="11"/>
      <c r="CK26" s="11"/>
      <c r="CL26" s="11"/>
      <c r="CM26" s="11"/>
      <c r="CN26" s="11"/>
      <c r="CO26" s="11"/>
      <c r="CP26" s="11"/>
      <c r="CQ26" s="11"/>
      <c r="CR26" s="11"/>
      <c r="CS26" s="11"/>
      <c r="CT26" s="11"/>
      <c r="CU26" s="11"/>
      <c r="CV26" s="11"/>
      <c r="CW26" s="11"/>
      <c r="CX26" s="11"/>
      <c r="CY26" s="11"/>
      <c r="CZ26" s="11"/>
      <c r="DA26" s="11"/>
      <c r="DB26" s="11"/>
      <c r="DC26" s="11"/>
      <c r="DD26" s="11"/>
      <c r="DE26" s="11"/>
      <c r="DF26" s="11"/>
      <c r="DG26" s="11"/>
      <c r="DH26" s="11"/>
      <c r="DI26" s="11"/>
      <c r="DJ26" s="11"/>
      <c r="DK26" s="11"/>
      <c r="DL26" s="11"/>
      <c r="DM26" s="11"/>
      <c r="DN26" s="11"/>
      <c r="DO26" s="11"/>
      <c r="DP26" s="11"/>
      <c r="DQ26" s="11"/>
      <c r="DR26" s="11"/>
      <c r="DS26" s="11"/>
      <c r="DT26" s="11"/>
      <c r="DU26" s="11"/>
      <c r="DV26" s="11"/>
      <c r="DW26" s="11"/>
      <c r="DX26" s="11"/>
    </row>
    <row r="27" ht="15.6" customHeight="1">
      <c r="A27" s="27"/>
      <c r="B27" s="296">
        <v>17</v>
      </c>
      <c r="C27" s="308"/>
      <c r="D27" s="309"/>
      <c r="E27" s="299"/>
      <c r="F27" s="310"/>
      <c r="G27" s="301"/>
      <c r="H27" s="299"/>
      <c r="I27" s="302"/>
      <c r="J27" s="303"/>
      <c r="K27" s="303"/>
      <c r="L27" t="s" s="311">
        <f>IF(C27="","",_xlfn.IFERROR(IF(I27="","",((I27/10000)*V27*X27)*AD27),"Error ▲"))</f>
      </c>
      <c r="M27" t="s" s="311">
        <f>IF(I27="","",IF(J27+K27&gt;I27,"Area Error ▲",I27-J27-K27))</f>
      </c>
      <c r="N27" t="s" s="311">
        <f>_xlfn.IFERROR(IF(I27="","",IF(M27="Area Error ▲","Area Error ▲",((M27/10000)*V27*X27)*AD27)),"This intervention is not permitted within the SSM ▲")</f>
      </c>
      <c r="O27" s="312"/>
      <c r="P27" s="307"/>
      <c r="Q27" s="33"/>
      <c r="R27" s="219"/>
      <c r="S27" s="228"/>
      <c r="T27" t="s" s="285">
        <f>IF(C27="","",VLOOKUP(D27,'9. All Habitats + Multipliers'!$C$4:$K$102,5,FALSE))</f>
      </c>
      <c r="U27" s="286"/>
      <c r="V27" t="s" s="313">
        <f>IF(T27="","",VLOOKUP(T27,'11. Lists'!$B$47:$D$49,2,FALSE))</f>
      </c>
      <c r="W27" t="s" s="285">
        <f>IF(C27="","",VLOOKUP(D27,'10. Condition and Temporal'!$B$6:$C$103,2,FALSE))</f>
      </c>
      <c r="X27" t="s" s="313">
        <f>IF(W27="","",VLOOKUP(W27,'11. Lists'!$F$47:$G$51,2,FALSE))</f>
      </c>
      <c r="Y27" s="288"/>
      <c r="Z27" s="289"/>
      <c r="AA27" s="290"/>
      <c r="AB27" t="s" s="285">
        <f>IF(F27="","",F27)</f>
      </c>
      <c r="AC27" t="s" s="291">
        <f>IF(AB27="","",VLOOKUP(AB27,'11. Lists'!$F$36:$H$38,2,FALSE))</f>
      </c>
      <c r="AD27" t="s" s="313">
        <f>IF(AB27="","",VLOOKUP(AB27,'11. Lists'!$F$36:$H$38,3,FALSE))</f>
      </c>
      <c r="AE27" t="s" s="285">
        <f>IF(D27="","",((J27/10000)*V27*X27)*AD27)</f>
      </c>
      <c r="AF27" t="s" s="291">
        <f>IF(D27="","",((K27/10000)*V27*X27)*AD27)</f>
      </c>
      <c r="AG27" t="s" s="313">
        <f>IF(D27="","",M27)</f>
      </c>
      <c r="AH27" t="s" s="295">
        <f>IF(T27="","",VLOOKUP(T27,'11. Lists'!$B$47:$D$49,3,FALSE))</f>
      </c>
      <c r="AI27" t="s" s="295">
        <f>IF(D27="","",VLOOKUP(D27,'10. Condition and Temporal'!$B$6:$L$103,4,FALSE))</f>
      </c>
      <c r="AJ27" s="33"/>
      <c r="AK27" s="11"/>
      <c r="AL27" s="11"/>
      <c r="AM27" s="11"/>
      <c r="AN27" s="11"/>
      <c r="AO27" s="11"/>
      <c r="AP27" s="11"/>
      <c r="AQ27" s="11"/>
      <c r="AR27" s="11"/>
      <c r="AS27" s="11"/>
      <c r="AT27" s="11"/>
      <c r="AU27" s="11"/>
      <c r="AV27" s="11"/>
      <c r="AW27" s="11"/>
      <c r="AX27" s="11"/>
      <c r="AY27" s="11"/>
      <c r="AZ27" s="11"/>
      <c r="BA27" s="11"/>
      <c r="BB27" s="11"/>
      <c r="BC27" s="11"/>
      <c r="BD27" s="11"/>
      <c r="BE27" s="11"/>
      <c r="BF27" s="11"/>
      <c r="BG27" s="11"/>
      <c r="BH27" s="11"/>
      <c r="BI27" s="11"/>
      <c r="BJ27" s="11"/>
      <c r="BK27" s="11"/>
      <c r="BL27" s="11"/>
      <c r="BM27" s="11"/>
      <c r="BN27" s="11"/>
      <c r="BO27" s="11"/>
      <c r="BP27" s="11"/>
      <c r="BQ27" s="11"/>
      <c r="BR27" s="11"/>
      <c r="BS27" s="11"/>
      <c r="BT27" s="11"/>
      <c r="BU27" s="11"/>
      <c r="BV27" s="11"/>
      <c r="BW27" s="11"/>
      <c r="BX27" s="11"/>
      <c r="BY27" s="11"/>
      <c r="BZ27" s="11"/>
      <c r="CA27" s="11"/>
      <c r="CB27" s="11"/>
      <c r="CC27" s="11"/>
      <c r="CD27" s="11"/>
      <c r="CE27" s="11"/>
      <c r="CF27" s="11"/>
      <c r="CG27" s="11"/>
      <c r="CH27" s="11"/>
      <c r="CI27" s="11"/>
      <c r="CJ27" s="11"/>
      <c r="CK27" s="11"/>
      <c r="CL27" s="11"/>
      <c r="CM27" s="11"/>
      <c r="CN27" s="11"/>
      <c r="CO27" s="11"/>
      <c r="CP27" s="11"/>
      <c r="CQ27" s="11"/>
      <c r="CR27" s="11"/>
      <c r="CS27" s="11"/>
      <c r="CT27" s="11"/>
      <c r="CU27" s="11"/>
      <c r="CV27" s="11"/>
      <c r="CW27" s="11"/>
      <c r="CX27" s="11"/>
      <c r="CY27" s="11"/>
      <c r="CZ27" s="11"/>
      <c r="DA27" s="11"/>
      <c r="DB27" s="11"/>
      <c r="DC27" s="11"/>
      <c r="DD27" s="11"/>
      <c r="DE27" s="11"/>
      <c r="DF27" s="11"/>
      <c r="DG27" s="11"/>
      <c r="DH27" s="11"/>
      <c r="DI27" s="11"/>
      <c r="DJ27" s="11"/>
      <c r="DK27" s="11"/>
      <c r="DL27" s="11"/>
      <c r="DM27" s="11"/>
      <c r="DN27" s="11"/>
      <c r="DO27" s="11"/>
      <c r="DP27" s="11"/>
      <c r="DQ27" s="11"/>
      <c r="DR27" s="11"/>
      <c r="DS27" s="11"/>
      <c r="DT27" s="11"/>
      <c r="DU27" s="11"/>
      <c r="DV27" s="11"/>
      <c r="DW27" s="11"/>
      <c r="DX27" s="11"/>
    </row>
    <row r="28" ht="15.6" customHeight="1">
      <c r="A28" s="27"/>
      <c r="B28" s="296">
        <v>18</v>
      </c>
      <c r="C28" s="308"/>
      <c r="D28" s="309"/>
      <c r="E28" s="299"/>
      <c r="F28" s="310"/>
      <c r="G28" s="301"/>
      <c r="H28" s="299"/>
      <c r="I28" s="302"/>
      <c r="J28" s="303"/>
      <c r="K28" s="303"/>
      <c r="L28" t="s" s="311">
        <f>IF(C28="","",_xlfn.IFERROR(IF(I28="","",((I28/10000)*V28*X28)*AD28),"Error ▲"))</f>
      </c>
      <c r="M28" t="s" s="311">
        <f>IF(I28="","",IF(J28+K28&gt;I28,"Area Error ▲",I28-J28-K28))</f>
      </c>
      <c r="N28" t="s" s="311">
        <f>_xlfn.IFERROR(IF(I28="","",IF(M28="Area Error ▲","Area Error ▲",((M28/10000)*V28*X28)*AD28)),"This intervention is not permitted within the SSM ▲")</f>
      </c>
      <c r="O28" s="312"/>
      <c r="P28" s="307"/>
      <c r="Q28" s="33"/>
      <c r="R28" s="219"/>
      <c r="S28" s="228"/>
      <c r="T28" t="s" s="285">
        <f>IF(C28="","",VLOOKUP(D28,'9. All Habitats + Multipliers'!$C$4:$K$102,5,FALSE))</f>
      </c>
      <c r="U28" s="286"/>
      <c r="V28" t="s" s="313">
        <f>IF(T28="","",VLOOKUP(T28,'11. Lists'!$B$47:$D$49,2,FALSE))</f>
      </c>
      <c r="W28" t="s" s="285">
        <f>IF(C28="","",VLOOKUP(D28,'10. Condition and Temporal'!$B$6:$C$103,2,FALSE))</f>
      </c>
      <c r="X28" t="s" s="313">
        <f>IF(W28="","",VLOOKUP(W28,'11. Lists'!$F$47:$G$51,2,FALSE))</f>
      </c>
      <c r="Y28" s="288"/>
      <c r="Z28" s="289"/>
      <c r="AA28" s="290"/>
      <c r="AB28" t="s" s="285">
        <f>IF(F28="","",F28)</f>
      </c>
      <c r="AC28" t="s" s="291">
        <f>IF(AB28="","",VLOOKUP(AB28,'11. Lists'!$F$36:$H$38,2,FALSE))</f>
      </c>
      <c r="AD28" t="s" s="313">
        <f>IF(AB28="","",VLOOKUP(AB28,'11. Lists'!$F$36:$H$38,3,FALSE))</f>
      </c>
      <c r="AE28" t="s" s="285">
        <f>IF(D28="","",((J28/10000)*V28*X28)*AD28)</f>
      </c>
      <c r="AF28" t="s" s="291">
        <f>IF(D28="","",((K28/10000)*V28*X28)*AD28)</f>
      </c>
      <c r="AG28" t="s" s="313">
        <f>IF(D28="","",M28)</f>
      </c>
      <c r="AH28" t="s" s="295">
        <f>IF(T28="","",VLOOKUP(T28,'11. Lists'!$B$47:$D$49,3,FALSE))</f>
      </c>
      <c r="AI28" t="s" s="295">
        <f>IF(D28="","",VLOOKUP(D28,'10. Condition and Temporal'!$B$6:$L$103,4,FALSE))</f>
      </c>
      <c r="AJ28" s="33"/>
      <c r="AK28" s="11"/>
      <c r="AL28" s="11"/>
      <c r="AM28" s="11"/>
      <c r="AN28" s="11"/>
      <c r="AO28" s="11"/>
      <c r="AP28" s="11"/>
      <c r="AQ28" s="11"/>
      <c r="AR28" s="11"/>
      <c r="AS28" s="11"/>
      <c r="AT28" s="11"/>
      <c r="AU28" s="11"/>
      <c r="AV28" s="11"/>
      <c r="AW28" s="11"/>
      <c r="AX28" s="11"/>
      <c r="AY28" s="11"/>
      <c r="AZ28" s="11"/>
      <c r="BA28" s="11"/>
      <c r="BB28" s="11"/>
      <c r="BC28" s="11"/>
      <c r="BD28" s="11"/>
      <c r="BE28" s="11"/>
      <c r="BF28" s="11"/>
      <c r="BG28" s="11"/>
      <c r="BH28" s="11"/>
      <c r="BI28" s="11"/>
      <c r="BJ28" s="11"/>
      <c r="BK28" s="11"/>
      <c r="BL28" s="11"/>
      <c r="BM28" s="11"/>
      <c r="BN28" s="11"/>
      <c r="BO28" s="11"/>
      <c r="BP28" s="11"/>
      <c r="BQ28" s="11"/>
      <c r="BR28" s="11"/>
      <c r="BS28" s="11"/>
      <c r="BT28" s="11"/>
      <c r="BU28" s="11"/>
      <c r="BV28" s="11"/>
      <c r="BW28" s="11"/>
      <c r="BX28" s="11"/>
      <c r="BY28" s="11"/>
      <c r="BZ28" s="11"/>
      <c r="CA28" s="11"/>
      <c r="CB28" s="11"/>
      <c r="CC28" s="11"/>
      <c r="CD28" s="11"/>
      <c r="CE28" s="11"/>
      <c r="CF28" s="11"/>
      <c r="CG28" s="11"/>
      <c r="CH28" s="11"/>
      <c r="CI28" s="11"/>
      <c r="CJ28" s="11"/>
      <c r="CK28" s="11"/>
      <c r="CL28" s="11"/>
      <c r="CM28" s="11"/>
      <c r="CN28" s="11"/>
      <c r="CO28" s="11"/>
      <c r="CP28" s="11"/>
      <c r="CQ28" s="11"/>
      <c r="CR28" s="11"/>
      <c r="CS28" s="11"/>
      <c r="CT28" s="11"/>
      <c r="CU28" s="11"/>
      <c r="CV28" s="11"/>
      <c r="CW28" s="11"/>
      <c r="CX28" s="11"/>
      <c r="CY28" s="11"/>
      <c r="CZ28" s="11"/>
      <c r="DA28" s="11"/>
      <c r="DB28" s="11"/>
      <c r="DC28" s="11"/>
      <c r="DD28" s="11"/>
      <c r="DE28" s="11"/>
      <c r="DF28" s="11"/>
      <c r="DG28" s="11"/>
      <c r="DH28" s="11"/>
      <c r="DI28" s="11"/>
      <c r="DJ28" s="11"/>
      <c r="DK28" s="11"/>
      <c r="DL28" s="11"/>
      <c r="DM28" s="11"/>
      <c r="DN28" s="11"/>
      <c r="DO28" s="11"/>
      <c r="DP28" s="11"/>
      <c r="DQ28" s="11"/>
      <c r="DR28" s="11"/>
      <c r="DS28" s="11"/>
      <c r="DT28" s="11"/>
      <c r="DU28" s="11"/>
      <c r="DV28" s="11"/>
      <c r="DW28" s="11"/>
      <c r="DX28" s="11"/>
    </row>
    <row r="29" ht="15.6" customHeight="1">
      <c r="A29" s="27"/>
      <c r="B29" s="296">
        <v>19</v>
      </c>
      <c r="C29" s="308"/>
      <c r="D29" s="309"/>
      <c r="E29" s="299"/>
      <c r="F29" s="310"/>
      <c r="G29" s="301"/>
      <c r="H29" s="299"/>
      <c r="I29" s="302"/>
      <c r="J29" s="303"/>
      <c r="K29" s="303"/>
      <c r="L29" t="s" s="311">
        <f>IF(C29="","",_xlfn.IFERROR(IF(I29="","",((I29/10000)*V29*X29)*AD29),"Error ▲"))</f>
      </c>
      <c r="M29" t="s" s="311">
        <f>IF(I29="","",IF(J29+K29&gt;I29,"Area Error ▲",I29-J29-K29))</f>
      </c>
      <c r="N29" t="s" s="311">
        <f>_xlfn.IFERROR(IF(I29="","",IF(M29="Area Error ▲","Area Error ▲",((M29/10000)*V29*X29)*AD29)),"This intervention is not permitted within the SSM ▲")</f>
      </c>
      <c r="O29" s="312"/>
      <c r="P29" s="307"/>
      <c r="Q29" s="33"/>
      <c r="R29" s="219"/>
      <c r="S29" s="228"/>
      <c r="T29" t="s" s="285">
        <f>IF(C29="","",VLOOKUP(D29,'9. All Habitats + Multipliers'!$C$4:$K$102,5,FALSE))</f>
      </c>
      <c r="U29" s="286"/>
      <c r="V29" t="s" s="313">
        <f>IF(T29="","",VLOOKUP(T29,'11. Lists'!$B$47:$D$49,2,FALSE))</f>
      </c>
      <c r="W29" t="s" s="285">
        <f>IF(C29="","",VLOOKUP(D29,'10. Condition and Temporal'!$B$6:$C$103,2,FALSE))</f>
      </c>
      <c r="X29" t="s" s="313">
        <f>IF(W29="","",VLOOKUP(W29,'11. Lists'!$F$47:$G$51,2,FALSE))</f>
      </c>
      <c r="Y29" s="288"/>
      <c r="Z29" s="289"/>
      <c r="AA29" s="290"/>
      <c r="AB29" t="s" s="285">
        <f>IF(F29="","",F29)</f>
      </c>
      <c r="AC29" t="s" s="291">
        <f>IF(AB29="","",VLOOKUP(AB29,'11. Lists'!$F$36:$H$38,2,FALSE))</f>
      </c>
      <c r="AD29" t="s" s="313">
        <f>IF(AB29="","",VLOOKUP(AB29,'11. Lists'!$F$36:$H$38,3,FALSE))</f>
      </c>
      <c r="AE29" t="s" s="285">
        <f>IF(D29="","",((J29/10000)*V29*X29)*AD29)</f>
      </c>
      <c r="AF29" t="s" s="291">
        <f>IF(D29="","",((K29/10000)*V29*X29)*AD29)</f>
      </c>
      <c r="AG29" t="s" s="313">
        <f>IF(D29="","",M29)</f>
      </c>
      <c r="AH29" t="s" s="295">
        <f>IF(T29="","",VLOOKUP(T29,'11. Lists'!$B$47:$D$49,3,FALSE))</f>
      </c>
      <c r="AI29" t="s" s="295">
        <f>IF(D29="","",VLOOKUP(D29,'10. Condition and Temporal'!$B$6:$L$103,4,FALSE))</f>
      </c>
      <c r="AJ29" s="33"/>
      <c r="AK29" s="11"/>
      <c r="AL29" s="11"/>
      <c r="AM29" s="11"/>
      <c r="AN29" s="11"/>
      <c r="AO29" s="11"/>
      <c r="AP29" s="11"/>
      <c r="AQ29" s="11"/>
      <c r="AR29" s="11"/>
      <c r="AS29" s="11"/>
      <c r="AT29" s="11"/>
      <c r="AU29" s="11"/>
      <c r="AV29" s="11"/>
      <c r="AW29" s="11"/>
      <c r="AX29" s="11"/>
      <c r="AY29" s="11"/>
      <c r="AZ29" s="11"/>
      <c r="BA29" s="11"/>
      <c r="BB29" s="11"/>
      <c r="BC29" s="11"/>
      <c r="BD29" s="11"/>
      <c r="BE29" s="11"/>
      <c r="BF29" s="11"/>
      <c r="BG29" s="11"/>
      <c r="BH29" s="11"/>
      <c r="BI29" s="11"/>
      <c r="BJ29" s="11"/>
      <c r="BK29" s="11"/>
      <c r="BL29" s="11"/>
      <c r="BM29" s="11"/>
      <c r="BN29" s="11"/>
      <c r="BO29" s="11"/>
      <c r="BP29" s="11"/>
      <c r="BQ29" s="11"/>
      <c r="BR29" s="11"/>
      <c r="BS29" s="11"/>
      <c r="BT29" s="11"/>
      <c r="BU29" s="11"/>
      <c r="BV29" s="11"/>
      <c r="BW29" s="11"/>
      <c r="BX29" s="11"/>
      <c r="BY29" s="11"/>
      <c r="BZ29" s="11"/>
      <c r="CA29" s="11"/>
      <c r="CB29" s="11"/>
      <c r="CC29" s="11"/>
      <c r="CD29" s="11"/>
      <c r="CE29" s="11"/>
      <c r="CF29" s="11"/>
      <c r="CG29" s="11"/>
      <c r="CH29" s="11"/>
      <c r="CI29" s="11"/>
      <c r="CJ29" s="11"/>
      <c r="CK29" s="11"/>
      <c r="CL29" s="11"/>
      <c r="CM29" s="11"/>
      <c r="CN29" s="11"/>
      <c r="CO29" s="11"/>
      <c r="CP29" s="11"/>
      <c r="CQ29" s="11"/>
      <c r="CR29" s="11"/>
      <c r="CS29" s="11"/>
      <c r="CT29" s="11"/>
      <c r="CU29" s="11"/>
      <c r="CV29" s="11"/>
      <c r="CW29" s="11"/>
      <c r="CX29" s="11"/>
      <c r="CY29" s="11"/>
      <c r="CZ29" s="11"/>
      <c r="DA29" s="11"/>
      <c r="DB29" s="11"/>
      <c r="DC29" s="11"/>
      <c r="DD29" s="11"/>
      <c r="DE29" s="11"/>
      <c r="DF29" s="11"/>
      <c r="DG29" s="11"/>
      <c r="DH29" s="11"/>
      <c r="DI29" s="11"/>
      <c r="DJ29" s="11"/>
      <c r="DK29" s="11"/>
      <c r="DL29" s="11"/>
      <c r="DM29" s="11"/>
      <c r="DN29" s="11"/>
      <c r="DO29" s="11"/>
      <c r="DP29" s="11"/>
      <c r="DQ29" s="11"/>
      <c r="DR29" s="11"/>
      <c r="DS29" s="11"/>
      <c r="DT29" s="11"/>
      <c r="DU29" s="11"/>
      <c r="DV29" s="11"/>
      <c r="DW29" s="11"/>
      <c r="DX29" s="11"/>
    </row>
    <row r="30" ht="15.95" customHeight="1">
      <c r="A30" s="27"/>
      <c r="B30" s="296">
        <v>20</v>
      </c>
      <c r="C30" s="316"/>
      <c r="D30" s="317"/>
      <c r="E30" s="318"/>
      <c r="F30" s="319"/>
      <c r="G30" s="320"/>
      <c r="H30" s="318"/>
      <c r="I30" s="321"/>
      <c r="J30" s="322"/>
      <c r="K30" s="322"/>
      <c r="L30" t="s" s="323">
        <f>IF(C30="","",_xlfn.IFERROR(IF(I30="","",((I30/10000)*V30*X30)*AD30),"Error ▲"))</f>
      </c>
      <c r="M30" t="s" s="323">
        <f>IF(I30="","",IF(J30+K30&gt;I30,"Area Error ▲",I30-J30-K30))</f>
      </c>
      <c r="N30" t="s" s="323">
        <f>_xlfn.IFERROR(IF(I30="","",IF(M30="Area Error ▲","Area Error ▲",((M30/10000)*V30*X30)*AD30)),"This intervention is not permitted within the SSM ▲")</f>
      </c>
      <c r="O30" s="312"/>
      <c r="P30" s="307"/>
      <c r="Q30" s="33"/>
      <c r="R30" s="219"/>
      <c r="S30" s="228"/>
      <c r="T30" t="s" s="285">
        <f>IF(C30="","",VLOOKUP(D30,'9. All Habitats + Multipliers'!$C$4:$K$102,5,FALSE))</f>
      </c>
      <c r="U30" s="286"/>
      <c r="V30" t="s" s="313">
        <f>IF(T30="","",VLOOKUP(T30,'11. Lists'!$B$47:$D$49,2,FALSE))</f>
      </c>
      <c r="W30" t="s" s="285">
        <f>IF(C30="","",VLOOKUP(D30,'10. Condition and Temporal'!$B$6:$C$103,2,FALSE))</f>
      </c>
      <c r="X30" t="s" s="313">
        <f>IF(W30="","",VLOOKUP(W30,'11. Lists'!$F$47:$G$51,2,FALSE))</f>
      </c>
      <c r="Y30" s="288"/>
      <c r="Z30" s="289"/>
      <c r="AA30" s="290"/>
      <c r="AB30" t="s" s="285">
        <f>IF(F30="","",F30)</f>
      </c>
      <c r="AC30" t="s" s="291">
        <f>IF(AB30="","",VLOOKUP(AB30,'11. Lists'!$F$36:$H$38,2,FALSE))</f>
      </c>
      <c r="AD30" t="s" s="313">
        <f>IF(AB30="","",VLOOKUP(AB30,'11. Lists'!$F$36:$H$38,3,FALSE))</f>
      </c>
      <c r="AE30" t="s" s="285">
        <f>IF(D30="","",((J30/10000)*V30*X30)*AD30)</f>
      </c>
      <c r="AF30" t="s" s="291">
        <f>IF(D30="","",((K30/10000)*V30*X30)*AD30)</f>
      </c>
      <c r="AG30" t="s" s="313">
        <f>IF(D30="","",M30)</f>
      </c>
      <c r="AH30" t="s" s="295">
        <f>IF(T30="","",VLOOKUP(T30,'11. Lists'!$B$47:$D$49,3,FALSE))</f>
      </c>
      <c r="AI30" t="s" s="295">
        <f>IF(D30="","",VLOOKUP(D30,'10. Condition and Temporal'!$B$6:$L$103,4,FALSE))</f>
      </c>
      <c r="AJ30" s="33"/>
      <c r="AK30" s="11"/>
      <c r="AL30" s="11"/>
      <c r="AM30" s="11"/>
      <c r="AN30" s="11"/>
      <c r="AO30" s="11"/>
      <c r="AP30" s="11"/>
      <c r="AQ30" s="11"/>
      <c r="AR30" s="11"/>
      <c r="AS30" s="11"/>
      <c r="AT30" s="11"/>
      <c r="AU30" s="11"/>
      <c r="AV30" s="11"/>
      <c r="AW30" s="11"/>
      <c r="AX30" s="11"/>
      <c r="AY30" s="11"/>
      <c r="AZ30" s="11"/>
      <c r="BA30" s="11"/>
      <c r="BB30" s="11"/>
      <c r="BC30" s="11"/>
      <c r="BD30" s="11"/>
      <c r="BE30" s="11"/>
      <c r="BF30" s="11"/>
      <c r="BG30" s="11"/>
      <c r="BH30" s="11"/>
      <c r="BI30" s="11"/>
      <c r="BJ30" s="11"/>
      <c r="BK30" s="11"/>
      <c r="BL30" s="11"/>
      <c r="BM30" s="11"/>
      <c r="BN30" s="11"/>
      <c r="BO30" s="11"/>
      <c r="BP30" s="11"/>
      <c r="BQ30" s="11"/>
      <c r="BR30" s="11"/>
      <c r="BS30" s="11"/>
      <c r="BT30" s="11"/>
      <c r="BU30" s="11"/>
      <c r="BV30" s="11"/>
      <c r="BW30" s="11"/>
      <c r="BX30" s="11"/>
      <c r="BY30" s="11"/>
      <c r="BZ30" s="11"/>
      <c r="CA30" s="11"/>
      <c r="CB30" s="11"/>
      <c r="CC30" s="11"/>
      <c r="CD30" s="11"/>
      <c r="CE30" s="11"/>
      <c r="CF30" s="11"/>
      <c r="CG30" s="11"/>
      <c r="CH30" s="11"/>
      <c r="CI30" s="11"/>
      <c r="CJ30" s="11"/>
      <c r="CK30" s="11"/>
      <c r="CL30" s="11"/>
      <c r="CM30" s="11"/>
      <c r="CN30" s="11"/>
      <c r="CO30" s="11"/>
      <c r="CP30" s="11"/>
      <c r="CQ30" s="11"/>
      <c r="CR30" s="11"/>
      <c r="CS30" s="11"/>
      <c r="CT30" s="11"/>
      <c r="CU30" s="11"/>
      <c r="CV30" s="11"/>
      <c r="CW30" s="11"/>
      <c r="CX30" s="11"/>
      <c r="CY30" s="11"/>
      <c r="CZ30" s="11"/>
      <c r="DA30" s="11"/>
      <c r="DB30" s="11"/>
      <c r="DC30" s="11"/>
      <c r="DD30" s="11"/>
      <c r="DE30" s="11"/>
      <c r="DF30" s="11"/>
      <c r="DG30" s="11"/>
      <c r="DH30" s="11"/>
      <c r="DI30" s="11"/>
      <c r="DJ30" s="11"/>
      <c r="DK30" s="11"/>
      <c r="DL30" s="11"/>
      <c r="DM30" s="11"/>
      <c r="DN30" s="11"/>
      <c r="DO30" s="11"/>
      <c r="DP30" s="11"/>
      <c r="DQ30" s="11"/>
      <c r="DR30" s="11"/>
      <c r="DS30" s="11"/>
      <c r="DT30" s="11"/>
      <c r="DU30" s="11"/>
      <c r="DV30" s="11"/>
      <c r="DW30" s="11"/>
      <c r="DX30" s="11"/>
    </row>
    <row r="31" ht="29.45" customHeight="1">
      <c r="A31" s="27"/>
      <c r="B31" t="s" s="324">
        <v>147</v>
      </c>
      <c r="C31" t="s" s="325">
        <v>148</v>
      </c>
      <c r="D31" t="s" s="326">
        <v>149</v>
      </c>
      <c r="E31" s="327"/>
      <c r="F31" t="s" s="328">
        <v>150</v>
      </c>
      <c r="G31" s="329"/>
      <c r="H31" s="330"/>
      <c r="I31" s="331">
        <f>I99</f>
        <v>0</v>
      </c>
      <c r="J31" s="332">
        <f>L99</f>
        <v>0</v>
      </c>
      <c r="K31" s="333"/>
      <c r="L31" s="334">
        <f>IF(C31="","",((I31/10000)*V31*X31)*AD31)</f>
        <v>0</v>
      </c>
      <c r="M31" s="335">
        <f>IF(C31="","",I31-J31-K31)</f>
        <v>0</v>
      </c>
      <c r="N31" s="336">
        <f>IF(C31="","",((M31/10000)*V31*X31)*AD31)</f>
        <v>0</v>
      </c>
      <c r="O31" s="337"/>
      <c r="P31" s="338"/>
      <c r="Q31" s="33"/>
      <c r="R31" s="219"/>
      <c r="S31" s="228"/>
      <c r="T31" t="s" s="339">
        <f>IF(C31="","",VLOOKUP(D31,'9. All Habitats + Multipliers'!$C$4:$K$102,5,FALSE))</f>
        <v>151</v>
      </c>
      <c r="U31" s="340"/>
      <c r="V31" s="341">
        <f>IF(T31="","",VLOOKUP(T31,'11. Lists'!$B$47:$D$49,2,FALSE))</f>
        <v>4</v>
      </c>
      <c r="W31" t="s" s="339">
        <f>IF(C31="","",VLOOKUP(D31,'10. Condition and Temporal'!$B$6:$C$103,2,FALSE))</f>
        <v>152</v>
      </c>
      <c r="X31" s="341">
        <f>IF(W31="","",VLOOKUP(W31,'11. Lists'!$F$47:$G$51,2,FALSE))</f>
        <v>2</v>
      </c>
      <c r="Y31" s="288"/>
      <c r="Z31" s="289"/>
      <c r="AA31" s="290"/>
      <c r="AB31" t="s" s="339">
        <f>IF(F31="","",F31)</f>
        <v>153</v>
      </c>
      <c r="AC31" t="s" s="342">
        <f>IF(AB31="","",VLOOKUP(AB31,'11. Lists'!$F$36:$H$38,2,FALSE))</f>
        <v>154</v>
      </c>
      <c r="AD31" s="341">
        <f>IF(AB31="","",VLOOKUP(AB31,'11. Lists'!$F$36:$H$38,3,FALSE))</f>
        <v>1.15</v>
      </c>
      <c r="AE31" s="343">
        <f>IF(D31="","",((J31/10000)*V31*X31)*(AD31))</f>
        <v>0</v>
      </c>
      <c r="AF31" s="344">
        <f>IF(D31="","",((K31/10000)*V31*X31)*(AD31))</f>
        <v>0</v>
      </c>
      <c r="AG31" s="345">
        <f>IF(D31="","",M31)</f>
        <v>0</v>
      </c>
      <c r="AH31" t="s" s="346">
        <f>IF(T31="","",VLOOKUP(T31,'11. Lists'!$B$47:$D$49,3,FALSE))</f>
        <v>155</v>
      </c>
      <c r="AI31" t="s" s="295">
        <f>IF(D31="","",VLOOKUP(D31,'10. Condition and Temporal'!$B$6:$L$103,4,FALSE))</f>
        <v>156</v>
      </c>
      <c r="AJ31" s="33"/>
      <c r="AK31" s="11"/>
      <c r="AL31" s="11"/>
      <c r="AM31" s="11"/>
      <c r="AN31" s="11"/>
      <c r="AO31" s="11"/>
      <c r="AP31" s="11"/>
      <c r="AQ31" s="11"/>
      <c r="AR31" s="11"/>
      <c r="AS31" s="11"/>
      <c r="AT31" s="11"/>
      <c r="AU31" s="11"/>
      <c r="AV31" s="11"/>
      <c r="AW31" s="11"/>
      <c r="AX31" s="11"/>
      <c r="AY31" s="11"/>
      <c r="AZ31" s="11"/>
      <c r="BA31" s="11"/>
      <c r="BB31" s="11"/>
      <c r="BC31" s="11"/>
      <c r="BD31" s="11"/>
      <c r="BE31" s="11"/>
      <c r="BF31" s="11"/>
      <c r="BG31" s="11"/>
      <c r="BH31" s="11"/>
      <c r="BI31" s="11"/>
      <c r="BJ31" s="11"/>
      <c r="BK31" s="11"/>
      <c r="BL31" s="11"/>
      <c r="BM31" s="11"/>
      <c r="BN31" s="11"/>
      <c r="BO31" s="11"/>
      <c r="BP31" s="11"/>
      <c r="BQ31" s="11"/>
      <c r="BR31" s="11"/>
      <c r="BS31" s="11"/>
      <c r="BT31" s="11"/>
      <c r="BU31" s="11"/>
      <c r="BV31" s="11"/>
      <c r="BW31" s="11"/>
      <c r="BX31" s="11"/>
      <c r="BY31" s="11"/>
      <c r="BZ31" s="11"/>
      <c r="CA31" s="11"/>
      <c r="CB31" s="11"/>
      <c r="CC31" s="11"/>
      <c r="CD31" s="11"/>
      <c r="CE31" s="11"/>
      <c r="CF31" s="11"/>
      <c r="CG31" s="11"/>
      <c r="CH31" s="11"/>
      <c r="CI31" s="11"/>
      <c r="CJ31" s="11"/>
      <c r="CK31" s="11"/>
      <c r="CL31" s="11"/>
      <c r="CM31" s="11"/>
      <c r="CN31" s="11"/>
      <c r="CO31" s="11"/>
      <c r="CP31" s="11"/>
      <c r="CQ31" s="11"/>
      <c r="CR31" s="11"/>
      <c r="CS31" s="11"/>
      <c r="CT31" s="11"/>
      <c r="CU31" s="11"/>
      <c r="CV31" s="11"/>
      <c r="CW31" s="11"/>
      <c r="CX31" s="11"/>
      <c r="CY31" s="11"/>
      <c r="CZ31" s="11"/>
      <c r="DA31" s="11"/>
      <c r="DB31" s="11"/>
      <c r="DC31" s="11"/>
      <c r="DD31" s="11"/>
      <c r="DE31" s="11"/>
      <c r="DF31" s="11"/>
      <c r="DG31" s="11"/>
      <c r="DH31" s="11"/>
      <c r="DI31" s="11"/>
      <c r="DJ31" s="11"/>
      <c r="DK31" s="11"/>
      <c r="DL31" s="11"/>
      <c r="DM31" s="11"/>
      <c r="DN31" s="11"/>
      <c r="DO31" s="11"/>
      <c r="DP31" s="11"/>
      <c r="DQ31" s="11"/>
      <c r="DR31" s="11"/>
      <c r="DS31" s="11"/>
      <c r="DT31" s="11"/>
      <c r="DU31" s="11"/>
      <c r="DV31" s="11"/>
      <c r="DW31" s="11"/>
      <c r="DX31" s="11"/>
    </row>
    <row r="32" ht="15" customHeight="1">
      <c r="A32" s="347"/>
      <c r="B32" s="348"/>
      <c r="C32" s="348"/>
      <c r="D32" s="349"/>
      <c r="E32" s="350"/>
      <c r="F32" s="350"/>
      <c r="G32" s="351"/>
      <c r="H32" t="s" s="352">
        <v>157</v>
      </c>
      <c r="I32" s="353">
        <f>_xlfn.SUMIFS(I11:I30,D11:D30,"&lt;&gt;"&amp;'11. Lists'!Q10,D11:D30,"&lt;&gt;"&amp;'11. Lists'!Q11,D11:D30,"&lt;&gt;"&amp;'11. Lists'!I4,D11:D30,"&lt;&gt;"&amp;'11. Lists'!I2,D11:D30,"&lt;&gt;"&amp;'11. Lists'!I3)</f>
        <v>93.416</v>
      </c>
      <c r="J32" s="335">
        <f>_xlfn.SUMIFS(J11:J30,D11:D30,"&lt;&gt;"&amp;'11. Lists'!Q10,D11:D30,"&lt;&gt;"&amp;'11. Lists'!Q11,D11:D30,"&lt;&gt;"&amp;'11. Lists'!I4,D11:D30,"&lt;&gt;"&amp;'11. Lists'!I2,D11:D30,"&lt;&gt;"&amp;'11. Lists'!I3)</f>
        <v>21.5638</v>
      </c>
      <c r="K32" s="354">
        <f>_xlfn.SUMIFS(K11:K30,D11:D30,"&lt;&gt;"&amp;'11. Lists'!Q10,D11:D30,"&lt;&gt;"&amp;'11. Lists'!Q11,D11:D30,"&lt;&gt;"&amp;'11. Lists'!I4,D11:D30,"&lt;&gt;"&amp;'11. Lists'!I2,D11:D30,"&lt;&gt;"&amp;'11. Lists'!I3)</f>
        <v>0</v>
      </c>
      <c r="L32" s="334">
        <f>SUM(L11:L31)</f>
        <v>0</v>
      </c>
      <c r="M32" s="335">
        <f>_xlfn.SUMIFS(M11:M30,D11:D30,"&lt;&gt;"&amp;'11. Lists'!Q10,D11:D30,"&lt;&gt;"&amp;'11. Lists'!Q11,D11:D30,"&lt;&gt;"&amp;'11. Lists'!I4,D11:D30,"&lt;&gt;"&amp;'11. Lists'!I2,D11:D30,"&lt;&gt;"&amp;'11. Lists'!I3)</f>
        <v>71.8522</v>
      </c>
      <c r="N32" s="336">
        <f>SUM(N11:N31)</f>
        <v>0</v>
      </c>
      <c r="O32" s="355"/>
      <c r="P32" s="348"/>
      <c r="Q32" s="161"/>
      <c r="R32" s="219"/>
      <c r="S32" s="161"/>
      <c r="T32" s="348"/>
      <c r="U32" s="348"/>
      <c r="V32" s="348"/>
      <c r="W32" s="348"/>
      <c r="X32" s="348"/>
      <c r="Y32" s="161"/>
      <c r="Z32" s="161"/>
      <c r="AA32" s="161"/>
      <c r="AB32" s="348"/>
      <c r="AC32" s="348"/>
      <c r="AD32" s="348"/>
      <c r="AE32" s="348"/>
      <c r="AF32" s="348"/>
      <c r="AG32" s="348"/>
      <c r="AH32" s="348"/>
      <c r="AI32" s="356"/>
      <c r="AJ32" s="161"/>
      <c r="AK32" s="161"/>
      <c r="AL32" s="161"/>
      <c r="AM32" s="161"/>
      <c r="AN32" s="161"/>
      <c r="AO32" s="161"/>
      <c r="AP32" s="161"/>
      <c r="AQ32" s="161"/>
      <c r="AR32" s="161"/>
      <c r="AS32" s="161"/>
      <c r="AT32" s="161"/>
      <c r="AU32" s="161"/>
      <c r="AV32" s="161"/>
      <c r="AW32" s="161"/>
      <c r="AX32" s="161"/>
      <c r="AY32" s="161"/>
      <c r="AZ32" s="161"/>
      <c r="BA32" s="161"/>
      <c r="BB32" s="161"/>
      <c r="BC32" s="161"/>
      <c r="BD32" s="161"/>
      <c r="BE32" s="161"/>
      <c r="BF32" s="161"/>
      <c r="BG32" s="161"/>
      <c r="BH32" s="161"/>
      <c r="BI32" s="161"/>
      <c r="BJ32" s="161"/>
      <c r="BK32" s="161"/>
      <c r="BL32" s="161"/>
      <c r="BM32" s="161"/>
      <c r="BN32" s="161"/>
      <c r="BO32" s="161"/>
      <c r="BP32" s="161"/>
      <c r="BQ32" s="161"/>
      <c r="BR32" s="161"/>
      <c r="BS32" s="161"/>
      <c r="BT32" s="161"/>
      <c r="BU32" s="161"/>
      <c r="BV32" s="161"/>
      <c r="BW32" s="161"/>
      <c r="BX32" s="161"/>
      <c r="BY32" s="161"/>
      <c r="BZ32" s="161"/>
      <c r="CA32" s="161"/>
      <c r="CB32" s="161"/>
      <c r="CC32" s="161"/>
      <c r="CD32" s="161"/>
      <c r="CE32" s="161"/>
      <c r="CF32" s="161"/>
      <c r="CG32" s="161"/>
      <c r="CH32" s="161"/>
      <c r="CI32" s="161"/>
      <c r="CJ32" s="161"/>
      <c r="CK32" s="161"/>
      <c r="CL32" s="161"/>
      <c r="CM32" s="161"/>
      <c r="CN32" s="161"/>
      <c r="CO32" s="161"/>
      <c r="CP32" s="161"/>
      <c r="CQ32" s="161"/>
      <c r="CR32" s="161"/>
      <c r="CS32" s="161"/>
      <c r="CT32" s="161"/>
      <c r="CU32" s="161"/>
      <c r="CV32" s="161"/>
      <c r="CW32" s="161"/>
      <c r="CX32" s="161"/>
      <c r="CY32" s="161"/>
      <c r="CZ32" s="161"/>
      <c r="DA32" s="161"/>
      <c r="DB32" s="161"/>
      <c r="DC32" s="161"/>
      <c r="DD32" s="161"/>
      <c r="DE32" s="161"/>
      <c r="DF32" s="161"/>
      <c r="DG32" s="161"/>
      <c r="DH32" s="161"/>
      <c r="DI32" s="161"/>
      <c r="DJ32" s="161"/>
      <c r="DK32" s="161"/>
      <c r="DL32" s="161"/>
      <c r="DM32" s="161"/>
      <c r="DN32" s="161"/>
      <c r="DO32" s="161"/>
      <c r="DP32" s="161"/>
      <c r="DQ32" s="161"/>
      <c r="DR32" s="161"/>
      <c r="DS32" s="161"/>
      <c r="DT32" s="161"/>
      <c r="DU32" s="161"/>
      <c r="DV32" s="161"/>
      <c r="DW32" s="161"/>
      <c r="DX32" s="161"/>
    </row>
    <row r="33" ht="26.6" customHeight="1">
      <c r="A33" s="347"/>
      <c r="B33" s="161"/>
      <c r="C33" s="161"/>
      <c r="D33" s="357"/>
      <c r="E33" s="358"/>
      <c r="F33" s="358"/>
      <c r="G33" s="359"/>
      <c r="H33" t="s" s="360">
        <v>158</v>
      </c>
      <c r="I33" t="s" s="361">
        <f>IF(I32=0,"Areas Acceptable ✓",IF(AND('3. Desktop Assessment'!C6="Residential",I32&lt;10000,'3. Desktop Assessment'!C9="Between 1 - 9 dwellings"),"Areas Acceptable ✓",IF(AND('3. Desktop Assessment'!C6="Residential",I32&lt;5000,'3. Desktop Assessment'!C9="Unknown number"),"Areas Acceptable ✓",IF(AND('3. Desktop Assessment'!C6="Commercial",I32&lt;10000,'3. Desktop Assessment'!C8&lt;1000),"Areas Acceptable ✓",IF(AND('3. Desktop Assessment'!C6="Mixed",I32&lt;10000,'3. Desktop Assessment'!C9="Between 1 - 9 dwellings",'3. Desktop Assessment'!C8&lt;1000),"Areas Acceptable ✓",IF(AND('3. Desktop Assessment'!C6="Mixed",I32&lt;5000,'3. Desktop Assessment'!C9="Unknown number",'3. Desktop Assessment'!C8&lt;1000),"Areas Acceptable ✓",IF(AND('3. Desktop Assessment'!C6="Other",I32&lt;10000),"Areas Acceptable ✓","Error - Site exceeds areas appropriate for the small sites metric ▲")))))))</f>
        <v>159</v>
      </c>
      <c r="J33" s="362"/>
      <c r="K33" s="362"/>
      <c r="L33" s="362"/>
      <c r="M33" s="362"/>
      <c r="N33" s="363"/>
      <c r="O33" s="364">
        <f>_xlfn.IFERROR(FIND("Error",I33),0)</f>
        <v>0</v>
      </c>
      <c r="P33" s="161"/>
      <c r="Q33" s="161"/>
      <c r="R33" s="219"/>
      <c r="S33" s="161"/>
      <c r="T33" s="161"/>
      <c r="U33" s="161"/>
      <c r="V33" s="161"/>
      <c r="W33" s="161"/>
      <c r="X33" s="161"/>
      <c r="Y33" s="161"/>
      <c r="Z33" s="161"/>
      <c r="AA33" s="161"/>
      <c r="AB33" s="161"/>
      <c r="AC33" s="161"/>
      <c r="AD33" s="161"/>
      <c r="AE33" s="161"/>
      <c r="AF33" s="161"/>
      <c r="AG33" s="161"/>
      <c r="AH33" s="161"/>
      <c r="AI33" s="161"/>
      <c r="AJ33" s="161"/>
      <c r="AK33" s="161"/>
      <c r="AL33" s="161"/>
      <c r="AM33" s="161"/>
      <c r="AN33" s="161"/>
      <c r="AO33" s="161"/>
      <c r="AP33" s="161"/>
      <c r="AQ33" s="161"/>
      <c r="AR33" s="161"/>
      <c r="AS33" s="161"/>
      <c r="AT33" s="161"/>
      <c r="AU33" s="161"/>
      <c r="AV33" s="161"/>
      <c r="AW33" s="161"/>
      <c r="AX33" s="161"/>
      <c r="AY33" s="161"/>
      <c r="AZ33" s="161"/>
      <c r="BA33" s="161"/>
      <c r="BB33" s="161"/>
      <c r="BC33" s="161"/>
      <c r="BD33" s="161"/>
      <c r="BE33" s="161"/>
      <c r="BF33" s="161"/>
      <c r="BG33" s="161"/>
      <c r="BH33" s="161"/>
      <c r="BI33" s="161"/>
      <c r="BJ33" s="161"/>
      <c r="BK33" s="161"/>
      <c r="BL33" s="161"/>
      <c r="BM33" s="161"/>
      <c r="BN33" s="161"/>
      <c r="BO33" s="161"/>
      <c r="BP33" s="161"/>
      <c r="BQ33" s="161"/>
      <c r="BR33" s="161"/>
      <c r="BS33" s="161"/>
      <c r="BT33" s="161"/>
      <c r="BU33" s="161"/>
      <c r="BV33" s="161"/>
      <c r="BW33" s="161"/>
      <c r="BX33" s="161"/>
      <c r="BY33" s="161"/>
      <c r="BZ33" s="161"/>
      <c r="CA33" s="161"/>
      <c r="CB33" s="161"/>
      <c r="CC33" s="161"/>
      <c r="CD33" s="161"/>
      <c r="CE33" s="161"/>
      <c r="CF33" s="161"/>
      <c r="CG33" s="161"/>
      <c r="CH33" s="161"/>
      <c r="CI33" s="161"/>
      <c r="CJ33" s="161"/>
      <c r="CK33" s="161"/>
      <c r="CL33" s="161"/>
      <c r="CM33" s="161"/>
      <c r="CN33" s="161"/>
      <c r="CO33" s="161"/>
      <c r="CP33" s="161"/>
      <c r="CQ33" s="161"/>
      <c r="CR33" s="161"/>
      <c r="CS33" s="161"/>
      <c r="CT33" s="161"/>
      <c r="CU33" s="161"/>
      <c r="CV33" s="161"/>
      <c r="CW33" s="161"/>
      <c r="CX33" s="161"/>
      <c r="CY33" s="161"/>
      <c r="CZ33" s="161"/>
      <c r="DA33" s="161"/>
      <c r="DB33" s="161"/>
      <c r="DC33" s="161"/>
      <c r="DD33" s="161"/>
      <c r="DE33" s="161"/>
      <c r="DF33" s="161"/>
      <c r="DG33" s="161"/>
      <c r="DH33" s="161"/>
      <c r="DI33" s="161"/>
      <c r="DJ33" s="161"/>
      <c r="DK33" s="161"/>
      <c r="DL33" s="161"/>
      <c r="DM33" s="161"/>
      <c r="DN33" s="161"/>
      <c r="DO33" s="161"/>
      <c r="DP33" s="161"/>
      <c r="DQ33" s="161"/>
      <c r="DR33" s="161"/>
      <c r="DS33" s="161"/>
      <c r="DT33" s="161"/>
      <c r="DU33" s="161"/>
      <c r="DV33" s="161"/>
      <c r="DW33" s="161"/>
      <c r="DX33" s="161"/>
    </row>
    <row r="34" ht="26.1" customHeight="1">
      <c r="A34" s="347"/>
      <c r="B34" s="161"/>
      <c r="C34" s="161"/>
      <c r="D34" s="357"/>
      <c r="E34" s="358"/>
      <c r="F34" s="358"/>
      <c r="G34" s="359"/>
      <c r="H34" t="s" s="365">
        <v>160</v>
      </c>
      <c r="I34" t="s" s="366">
        <f>IF(I32&lt;J32+K32,"Error - Areas Retained and Enhanced Exceed Total Area ▲","Areas Acceptable ✓")</f>
        <v>159</v>
      </c>
      <c r="J34" s="367"/>
      <c r="K34" s="367"/>
      <c r="L34" s="367"/>
      <c r="M34" s="367"/>
      <c r="N34" s="368"/>
      <c r="O34" s="364">
        <f>_xlfn.IFERROR(FIND("Error",I34),0)</f>
        <v>0</v>
      </c>
      <c r="P34" s="161"/>
      <c r="Q34" s="161"/>
      <c r="R34" s="219"/>
      <c r="S34" s="161"/>
      <c r="T34" s="161"/>
      <c r="U34" s="161"/>
      <c r="V34" s="161"/>
      <c r="W34" s="161"/>
      <c r="X34" s="161"/>
      <c r="Y34" s="161"/>
      <c r="Z34" s="161"/>
      <c r="AA34" s="161"/>
      <c r="AB34" s="161"/>
      <c r="AC34" s="161"/>
      <c r="AD34" s="161"/>
      <c r="AE34" s="161"/>
      <c r="AF34" s="161"/>
      <c r="AG34" s="161"/>
      <c r="AH34" s="161"/>
      <c r="AI34" s="161"/>
      <c r="AJ34" s="161"/>
      <c r="AK34" s="161"/>
      <c r="AL34" s="161"/>
      <c r="AM34" s="161"/>
      <c r="AN34" s="161"/>
      <c r="AO34" s="161"/>
      <c r="AP34" s="161"/>
      <c r="AQ34" s="161"/>
      <c r="AR34" s="161"/>
      <c r="AS34" s="161"/>
      <c r="AT34" s="161"/>
      <c r="AU34" s="161"/>
      <c r="AV34" s="161"/>
      <c r="AW34" s="161"/>
      <c r="AX34" s="161"/>
      <c r="AY34" s="161"/>
      <c r="AZ34" s="161"/>
      <c r="BA34" s="161"/>
      <c r="BB34" s="161"/>
      <c r="BC34" s="161"/>
      <c r="BD34" s="161"/>
      <c r="BE34" s="161"/>
      <c r="BF34" s="161"/>
      <c r="BG34" s="161"/>
      <c r="BH34" s="161"/>
      <c r="BI34" s="161"/>
      <c r="BJ34" s="161"/>
      <c r="BK34" s="161"/>
      <c r="BL34" s="161"/>
      <c r="BM34" s="161"/>
      <c r="BN34" s="161"/>
      <c r="BO34" s="161"/>
      <c r="BP34" s="161"/>
      <c r="BQ34" s="161"/>
      <c r="BR34" s="161"/>
      <c r="BS34" s="161"/>
      <c r="BT34" s="161"/>
      <c r="BU34" s="161"/>
      <c r="BV34" s="161"/>
      <c r="BW34" s="161"/>
      <c r="BX34" s="161"/>
      <c r="BY34" s="161"/>
      <c r="BZ34" s="161"/>
      <c r="CA34" s="161"/>
      <c r="CB34" s="161"/>
      <c r="CC34" s="161"/>
      <c r="CD34" s="161"/>
      <c r="CE34" s="161"/>
      <c r="CF34" s="161"/>
      <c r="CG34" s="161"/>
      <c r="CH34" s="161"/>
      <c r="CI34" s="161"/>
      <c r="CJ34" s="161"/>
      <c r="CK34" s="161"/>
      <c r="CL34" s="161"/>
      <c r="CM34" s="161"/>
      <c r="CN34" s="161"/>
      <c r="CO34" s="161"/>
      <c r="CP34" s="161"/>
      <c r="CQ34" s="161"/>
      <c r="CR34" s="161"/>
      <c r="CS34" s="161"/>
      <c r="CT34" s="161"/>
      <c r="CU34" s="161"/>
      <c r="CV34" s="161"/>
      <c r="CW34" s="161"/>
      <c r="CX34" s="161"/>
      <c r="CY34" s="161"/>
      <c r="CZ34" s="161"/>
      <c r="DA34" s="161"/>
      <c r="DB34" s="161"/>
      <c r="DC34" s="161"/>
      <c r="DD34" s="161"/>
      <c r="DE34" s="161"/>
      <c r="DF34" s="161"/>
      <c r="DG34" s="161"/>
      <c r="DH34" s="161"/>
      <c r="DI34" s="161"/>
      <c r="DJ34" s="161"/>
      <c r="DK34" s="161"/>
      <c r="DL34" s="161"/>
      <c r="DM34" s="161"/>
      <c r="DN34" s="161"/>
      <c r="DO34" s="161"/>
      <c r="DP34" s="161"/>
      <c r="DQ34" s="161"/>
      <c r="DR34" s="161"/>
      <c r="DS34" s="161"/>
      <c r="DT34" s="161"/>
      <c r="DU34" s="161"/>
      <c r="DV34" s="161"/>
      <c r="DW34" s="161"/>
      <c r="DX34" s="161"/>
    </row>
    <row r="35" ht="15" customHeight="1">
      <c r="A35" s="347"/>
      <c r="B35" s="161"/>
      <c r="C35" s="161"/>
      <c r="D35" s="357"/>
      <c r="E35" s="358"/>
      <c r="F35" s="358"/>
      <c r="G35" s="359"/>
      <c r="H35" t="s" s="369">
        <v>161</v>
      </c>
      <c r="I35" t="s" s="370">
        <f>IF(I32=0,"Areas Acceptable ✓",IF(I32&lt;&gt;'3. Desktop Assessment'!C7,"Error - Areas Entered Does Not Match Stated Site Area ▲","Areas Acceptable ✓"))</f>
        <v>159</v>
      </c>
      <c r="J35" s="371"/>
      <c r="K35" s="371"/>
      <c r="L35" s="371"/>
      <c r="M35" s="371"/>
      <c r="N35" s="372"/>
      <c r="O35" s="364">
        <f>_xlfn.IFERROR(FIND("Error",I35),0)</f>
        <v>0</v>
      </c>
      <c r="P35" s="161"/>
      <c r="Q35" s="161"/>
      <c r="R35" t="s" s="373">
        <v>99</v>
      </c>
      <c r="S35" s="161"/>
      <c r="T35" s="161"/>
      <c r="U35" s="161"/>
      <c r="V35" s="161"/>
      <c r="W35" s="161"/>
      <c r="X35" s="161"/>
      <c r="Y35" s="161"/>
      <c r="Z35" s="161"/>
      <c r="AA35" s="161"/>
      <c r="AB35" s="161"/>
      <c r="AC35" s="161"/>
      <c r="AD35" s="161"/>
      <c r="AE35" s="161"/>
      <c r="AF35" s="161"/>
      <c r="AG35" s="161"/>
      <c r="AH35" s="161"/>
      <c r="AI35" s="161"/>
      <c r="AJ35" s="161"/>
      <c r="AK35" s="161"/>
      <c r="AL35" s="161"/>
      <c r="AM35" s="161"/>
      <c r="AN35" s="161"/>
      <c r="AO35" s="161"/>
      <c r="AP35" s="161"/>
      <c r="AQ35" s="161"/>
      <c r="AR35" s="161"/>
      <c r="AS35" s="161"/>
      <c r="AT35" s="161"/>
      <c r="AU35" s="161"/>
      <c r="AV35" s="161"/>
      <c r="AW35" s="161"/>
      <c r="AX35" s="161"/>
      <c r="AY35" s="161"/>
      <c r="AZ35" s="161"/>
      <c r="BA35" s="161"/>
      <c r="BB35" s="161"/>
      <c r="BC35" s="161"/>
      <c r="BD35" s="161"/>
      <c r="BE35" s="161"/>
      <c r="BF35" s="161"/>
      <c r="BG35" s="161"/>
      <c r="BH35" s="161"/>
      <c r="BI35" s="161"/>
      <c r="BJ35" s="161"/>
      <c r="BK35" s="161"/>
      <c r="BL35" s="161"/>
      <c r="BM35" s="161"/>
      <c r="BN35" s="161"/>
      <c r="BO35" s="161"/>
      <c r="BP35" s="161"/>
      <c r="BQ35" s="161"/>
      <c r="BR35" s="161"/>
      <c r="BS35" s="161"/>
      <c r="BT35" s="161"/>
      <c r="BU35" s="161"/>
      <c r="BV35" s="161"/>
      <c r="BW35" s="161"/>
      <c r="BX35" s="161"/>
      <c r="BY35" s="161"/>
      <c r="BZ35" s="161"/>
      <c r="CA35" s="161"/>
      <c r="CB35" s="161"/>
      <c r="CC35" s="161"/>
      <c r="CD35" s="161"/>
      <c r="CE35" s="161"/>
      <c r="CF35" s="161"/>
      <c r="CG35" s="161"/>
      <c r="CH35" s="161"/>
      <c r="CI35" s="161"/>
      <c r="CJ35" s="161"/>
      <c r="CK35" s="161"/>
      <c r="CL35" s="161"/>
      <c r="CM35" s="161"/>
      <c r="CN35" s="161"/>
      <c r="CO35" s="161"/>
      <c r="CP35" s="161"/>
      <c r="CQ35" s="161"/>
      <c r="CR35" s="161"/>
      <c r="CS35" s="161"/>
      <c r="CT35" s="161"/>
      <c r="CU35" s="161"/>
      <c r="CV35" s="161"/>
      <c r="CW35" s="161"/>
      <c r="CX35" s="161"/>
      <c r="CY35" s="161"/>
      <c r="CZ35" s="161"/>
      <c r="DA35" s="161"/>
      <c r="DB35" s="161"/>
      <c r="DC35" s="161"/>
      <c r="DD35" s="161"/>
      <c r="DE35" s="161"/>
      <c r="DF35" s="161"/>
      <c r="DG35" s="161"/>
      <c r="DH35" s="161"/>
      <c r="DI35" s="161"/>
      <c r="DJ35" s="161"/>
      <c r="DK35" s="161"/>
      <c r="DL35" s="161"/>
      <c r="DM35" s="161"/>
      <c r="DN35" s="161"/>
      <c r="DO35" s="161"/>
      <c r="DP35" s="161"/>
      <c r="DQ35" s="161"/>
      <c r="DR35" s="161"/>
      <c r="DS35" s="161"/>
      <c r="DT35" s="161"/>
      <c r="DU35" s="161"/>
      <c r="DV35" s="161"/>
      <c r="DW35" s="161"/>
      <c r="DX35" s="161"/>
    </row>
    <row r="36" ht="21" customHeight="1">
      <c r="A36" s="347"/>
      <c r="B36" t="s" s="374">
        <v>162</v>
      </c>
      <c r="C36" s="161"/>
      <c r="D36" s="375"/>
      <c r="E36" s="358"/>
      <c r="F36" s="358"/>
      <c r="G36" s="358"/>
      <c r="H36" s="348"/>
      <c r="I36" s="376"/>
      <c r="J36" s="348"/>
      <c r="K36" s="348"/>
      <c r="L36" s="348"/>
      <c r="M36" s="348"/>
      <c r="N36" s="348"/>
      <c r="O36" s="377">
        <f>COUNTIF(L11:N30,"*"&amp;"error"&amp;"*")</f>
        <v>0</v>
      </c>
      <c r="P36" s="161"/>
      <c r="Q36" s="161"/>
      <c r="R36" s="219"/>
      <c r="S36" s="161"/>
      <c r="T36" s="161"/>
      <c r="U36" s="161"/>
      <c r="V36" s="161"/>
      <c r="W36" s="161"/>
      <c r="X36" s="161"/>
      <c r="Y36" s="161"/>
      <c r="Z36" s="161"/>
      <c r="AA36" s="161"/>
      <c r="AB36" s="161"/>
      <c r="AC36" s="161"/>
      <c r="AD36" s="161"/>
      <c r="AE36" s="161"/>
      <c r="AF36" s="161"/>
      <c r="AG36" s="161"/>
      <c r="AH36" s="161"/>
      <c r="AI36" s="161"/>
      <c r="AJ36" s="161"/>
      <c r="AK36" s="161"/>
      <c r="AL36" s="161"/>
      <c r="AM36" s="161"/>
      <c r="AN36" s="161"/>
      <c r="AO36" s="161"/>
      <c r="AP36" s="161"/>
      <c r="AQ36" s="161"/>
      <c r="AR36" s="161"/>
      <c r="AS36" s="161"/>
      <c r="AT36" s="161"/>
      <c r="AU36" s="161"/>
      <c r="AV36" s="161"/>
      <c r="AW36" s="161"/>
      <c r="AX36" s="161"/>
      <c r="AY36" s="161"/>
      <c r="AZ36" s="161"/>
      <c r="BA36" s="161"/>
      <c r="BB36" s="161"/>
      <c r="BC36" s="161"/>
      <c r="BD36" s="161"/>
      <c r="BE36" s="161"/>
      <c r="BF36" s="161"/>
      <c r="BG36" s="161"/>
      <c r="BH36" s="161"/>
      <c r="BI36" s="161"/>
      <c r="BJ36" s="161"/>
      <c r="BK36" s="161"/>
      <c r="BL36" s="161"/>
      <c r="BM36" s="161"/>
      <c r="BN36" s="161"/>
      <c r="BO36" s="161"/>
      <c r="BP36" s="161"/>
      <c r="BQ36" s="161"/>
      <c r="BR36" s="161"/>
      <c r="BS36" s="161"/>
      <c r="BT36" s="161"/>
      <c r="BU36" s="161"/>
      <c r="BV36" s="161"/>
      <c r="BW36" s="161"/>
      <c r="BX36" s="161"/>
      <c r="BY36" s="161"/>
      <c r="BZ36" s="161"/>
      <c r="CA36" s="161"/>
      <c r="CB36" s="161"/>
      <c r="CC36" s="161"/>
      <c r="CD36" s="161"/>
      <c r="CE36" s="161"/>
      <c r="CF36" s="161"/>
      <c r="CG36" s="161"/>
      <c r="CH36" s="161"/>
      <c r="CI36" s="161"/>
      <c r="CJ36" s="161"/>
      <c r="CK36" s="161"/>
      <c r="CL36" s="161"/>
      <c r="CM36" s="161"/>
      <c r="CN36" s="161"/>
      <c r="CO36" s="161"/>
      <c r="CP36" s="161"/>
      <c r="CQ36" s="161"/>
      <c r="CR36" s="161"/>
      <c r="CS36" s="161"/>
      <c r="CT36" s="161"/>
      <c r="CU36" s="161"/>
      <c r="CV36" s="161"/>
      <c r="CW36" s="161"/>
      <c r="CX36" s="161"/>
      <c r="CY36" s="161"/>
      <c r="CZ36" s="161"/>
      <c r="DA36" s="161"/>
      <c r="DB36" s="161"/>
      <c r="DC36" s="161"/>
      <c r="DD36" s="161"/>
      <c r="DE36" s="161"/>
      <c r="DF36" s="161"/>
      <c r="DG36" s="161"/>
      <c r="DH36" s="161"/>
      <c r="DI36" s="161"/>
      <c r="DJ36" s="161"/>
      <c r="DK36" s="161"/>
      <c r="DL36" s="161"/>
      <c r="DM36" s="161"/>
      <c r="DN36" s="161"/>
      <c r="DO36" s="161"/>
      <c r="DP36" s="161"/>
      <c r="DQ36" s="161"/>
      <c r="DR36" s="161"/>
      <c r="DS36" s="161"/>
      <c r="DT36" s="161"/>
      <c r="DU36" s="161"/>
      <c r="DV36" s="161"/>
      <c r="DW36" s="161"/>
      <c r="DX36" s="161"/>
    </row>
    <row r="37" ht="15.75" customHeight="1">
      <c r="A37" s="347"/>
      <c r="B37" s="378"/>
      <c r="C37" s="378"/>
      <c r="D37" s="378"/>
      <c r="E37" s="378"/>
      <c r="F37" s="378"/>
      <c r="G37" s="378"/>
      <c r="H37" s="378"/>
      <c r="I37" s="378"/>
      <c r="J37" s="378"/>
      <c r="K37" s="378"/>
      <c r="L37" s="378"/>
      <c r="M37" s="378"/>
      <c r="N37" s="378"/>
      <c r="O37" s="378"/>
      <c r="P37" s="378"/>
      <c r="Q37" s="161"/>
      <c r="R37" s="219"/>
      <c r="S37" s="161"/>
      <c r="T37" s="378"/>
      <c r="U37" s="378"/>
      <c r="V37" s="378"/>
      <c r="W37" s="378"/>
      <c r="X37" s="378"/>
      <c r="Y37" s="161"/>
      <c r="Z37" s="161"/>
      <c r="AA37" s="161"/>
      <c r="AB37" s="378"/>
      <c r="AC37" s="378"/>
      <c r="AD37" s="378"/>
      <c r="AE37" s="378"/>
      <c r="AF37" s="378"/>
      <c r="AG37" s="378"/>
      <c r="AH37" s="378"/>
      <c r="AI37" s="161"/>
      <c r="AJ37" s="161"/>
      <c r="AK37" s="161"/>
      <c r="AL37" s="161"/>
      <c r="AM37" s="161"/>
      <c r="AN37" s="161"/>
      <c r="AO37" s="161"/>
      <c r="AP37" s="161"/>
      <c r="AQ37" s="161"/>
      <c r="AR37" s="161"/>
      <c r="AS37" s="161"/>
      <c r="AT37" s="161"/>
      <c r="AU37" s="161"/>
      <c r="AV37" s="161"/>
      <c r="AW37" s="161"/>
      <c r="AX37" s="161"/>
      <c r="AY37" s="161"/>
      <c r="AZ37" s="161"/>
      <c r="BA37" s="161"/>
      <c r="BB37" s="161"/>
      <c r="BC37" s="161"/>
      <c r="BD37" s="161"/>
      <c r="BE37" s="161"/>
      <c r="BF37" s="161"/>
      <c r="BG37" s="161"/>
      <c r="BH37" s="161"/>
      <c r="BI37" s="161"/>
      <c r="BJ37" s="161"/>
      <c r="BK37" s="161"/>
      <c r="BL37" s="161"/>
      <c r="BM37" s="161"/>
      <c r="BN37" s="161"/>
      <c r="BO37" s="161"/>
      <c r="BP37" s="161"/>
      <c r="BQ37" s="161"/>
      <c r="BR37" s="161"/>
      <c r="BS37" s="161"/>
      <c r="BT37" s="161"/>
      <c r="BU37" s="161"/>
      <c r="BV37" s="161"/>
      <c r="BW37" s="161"/>
      <c r="BX37" s="161"/>
      <c r="BY37" s="161"/>
      <c r="BZ37" s="161"/>
      <c r="CA37" s="161"/>
      <c r="CB37" s="161"/>
      <c r="CC37" s="161"/>
      <c r="CD37" s="161"/>
      <c r="CE37" s="161"/>
      <c r="CF37" s="161"/>
      <c r="CG37" s="161"/>
      <c r="CH37" s="161"/>
      <c r="CI37" s="161"/>
      <c r="CJ37" s="161"/>
      <c r="CK37" s="161"/>
      <c r="CL37" s="161"/>
      <c r="CM37" s="161"/>
      <c r="CN37" s="161"/>
      <c r="CO37" s="161"/>
      <c r="CP37" s="161"/>
      <c r="CQ37" s="161"/>
      <c r="CR37" s="161"/>
      <c r="CS37" s="161"/>
      <c r="CT37" s="161"/>
      <c r="CU37" s="161"/>
      <c r="CV37" s="161"/>
      <c r="CW37" s="161"/>
      <c r="CX37" s="161"/>
      <c r="CY37" s="161"/>
      <c r="CZ37" s="161"/>
      <c r="DA37" s="161"/>
      <c r="DB37" s="161"/>
      <c r="DC37" s="161"/>
      <c r="DD37" s="161"/>
      <c r="DE37" s="161"/>
      <c r="DF37" s="161"/>
      <c r="DG37" s="161"/>
      <c r="DH37" s="161"/>
      <c r="DI37" s="161"/>
      <c r="DJ37" s="161"/>
      <c r="DK37" s="161"/>
      <c r="DL37" s="161"/>
      <c r="DM37" s="161"/>
      <c r="DN37" s="161"/>
      <c r="DO37" s="161"/>
      <c r="DP37" s="161"/>
      <c r="DQ37" s="161"/>
      <c r="DR37" s="161"/>
      <c r="DS37" s="161"/>
      <c r="DT37" s="161"/>
      <c r="DU37" s="161"/>
      <c r="DV37" s="161"/>
      <c r="DW37" s="161"/>
      <c r="DX37" s="161"/>
    </row>
    <row r="38" ht="16.35" customHeight="1">
      <c r="A38" s="379"/>
      <c r="B38" t="s" s="202">
        <v>89</v>
      </c>
      <c r="C38" s="244"/>
      <c r="D38" s="245"/>
      <c r="E38" t="s" s="202">
        <v>163</v>
      </c>
      <c r="F38" s="244"/>
      <c r="G38" s="245"/>
      <c r="H38" t="s" s="243">
        <v>164</v>
      </c>
      <c r="I38" t="s" s="246">
        <v>165</v>
      </c>
      <c r="J38" s="247"/>
      <c r="K38" s="248"/>
      <c r="L38" t="s" s="202">
        <v>166</v>
      </c>
      <c r="M38" s="244"/>
      <c r="N38" s="245"/>
      <c r="O38" t="s" s="202">
        <v>112</v>
      </c>
      <c r="P38" s="245"/>
      <c r="Q38" s="380"/>
      <c r="R38" s="219"/>
      <c r="S38" s="381"/>
      <c r="T38" t="s" s="252">
        <v>113</v>
      </c>
      <c r="U38" s="253"/>
      <c r="V38" s="254"/>
      <c r="W38" t="s" s="252">
        <v>114</v>
      </c>
      <c r="X38" s="254"/>
      <c r="Y38" s="255"/>
      <c r="Z38" s="256"/>
      <c r="AA38" s="257"/>
      <c r="AB38" t="s" s="252">
        <v>115</v>
      </c>
      <c r="AC38" s="253"/>
      <c r="AD38" s="254"/>
      <c r="AE38" t="s" s="252">
        <v>167</v>
      </c>
      <c r="AF38" s="254"/>
      <c r="AG38" t="s" s="252">
        <v>168</v>
      </c>
      <c r="AH38" s="254"/>
      <c r="AI38" s="380"/>
      <c r="AJ38" s="161"/>
      <c r="AK38" s="161"/>
      <c r="AL38" s="161"/>
      <c r="AM38" s="161"/>
      <c r="AN38" s="161"/>
      <c r="AO38" s="161"/>
      <c r="AP38" s="161"/>
      <c r="AQ38" s="161"/>
      <c r="AR38" s="161"/>
      <c r="AS38" s="161"/>
      <c r="AT38" s="161"/>
      <c r="AU38" s="161"/>
      <c r="AV38" s="161"/>
      <c r="AW38" s="161"/>
      <c r="AX38" s="161"/>
      <c r="AY38" s="161"/>
      <c r="AZ38" s="161"/>
      <c r="BA38" s="161"/>
      <c r="BB38" s="161"/>
      <c r="BC38" s="161"/>
      <c r="BD38" s="161"/>
      <c r="BE38" s="161"/>
      <c r="BF38" s="161"/>
      <c r="BG38" s="161"/>
      <c r="BH38" s="161"/>
      <c r="BI38" s="161"/>
      <c r="BJ38" s="161"/>
      <c r="BK38" s="161"/>
      <c r="BL38" s="161"/>
      <c r="BM38" s="161"/>
      <c r="BN38" s="161"/>
      <c r="BO38" s="161"/>
      <c r="BP38" s="161"/>
      <c r="BQ38" s="161"/>
      <c r="BR38" s="161"/>
      <c r="BS38" s="161"/>
      <c r="BT38" s="161"/>
      <c r="BU38" s="161"/>
      <c r="BV38" s="161"/>
      <c r="BW38" s="161"/>
      <c r="BX38" s="161"/>
      <c r="BY38" s="161"/>
      <c r="BZ38" s="161"/>
      <c r="CA38" s="161"/>
      <c r="CB38" s="161"/>
      <c r="CC38" s="161"/>
      <c r="CD38" s="161"/>
      <c r="CE38" s="161"/>
      <c r="CF38" s="161"/>
      <c r="CG38" s="161"/>
      <c r="CH38" s="161"/>
      <c r="CI38" s="161"/>
      <c r="CJ38" s="161"/>
      <c r="CK38" s="161"/>
      <c r="CL38" s="161"/>
      <c r="CM38" s="161"/>
      <c r="CN38" s="161"/>
      <c r="CO38" s="161"/>
      <c r="CP38" s="161"/>
      <c r="CQ38" s="161"/>
      <c r="CR38" s="161"/>
      <c r="CS38" s="161"/>
      <c r="CT38" s="161"/>
      <c r="CU38" s="161"/>
      <c r="CV38" s="161"/>
      <c r="CW38" s="161"/>
      <c r="CX38" s="161"/>
      <c r="CY38" s="161"/>
      <c r="CZ38" s="161"/>
      <c r="DA38" s="161"/>
      <c r="DB38" s="161"/>
      <c r="DC38" s="161"/>
      <c r="DD38" s="161"/>
      <c r="DE38" s="161"/>
      <c r="DF38" s="161"/>
      <c r="DG38" s="161"/>
      <c r="DH38" s="161"/>
      <c r="DI38" s="161"/>
      <c r="DJ38" s="161"/>
      <c r="DK38" s="161"/>
      <c r="DL38" s="161"/>
      <c r="DM38" s="161"/>
      <c r="DN38" s="161"/>
      <c r="DO38" s="161"/>
      <c r="DP38" s="161"/>
      <c r="DQ38" s="161"/>
      <c r="DR38" s="161"/>
      <c r="DS38" s="161"/>
      <c r="DT38" s="161"/>
      <c r="DU38" s="161"/>
      <c r="DV38" s="161"/>
      <c r="DW38" s="161"/>
      <c r="DX38" s="161"/>
    </row>
    <row r="39" ht="31.5" customHeight="1">
      <c r="A39" s="379"/>
      <c r="B39" s="382"/>
      <c r="C39" t="s" s="265">
        <v>119</v>
      </c>
      <c r="D39" t="s" s="266">
        <v>169</v>
      </c>
      <c r="E39" t="s" s="230">
        <v>170</v>
      </c>
      <c r="F39" t="s" s="383">
        <v>171</v>
      </c>
      <c r="G39" s="384"/>
      <c r="H39" s="259"/>
      <c r="I39" s="262"/>
      <c r="J39" s="263"/>
      <c r="K39" s="264"/>
      <c r="L39" s="382"/>
      <c r="M39" s="385"/>
      <c r="N39" s="386"/>
      <c r="O39" t="s" s="230">
        <v>127</v>
      </c>
      <c r="P39" t="s" s="266">
        <v>128</v>
      </c>
      <c r="Q39" s="380"/>
      <c r="R39" s="219"/>
      <c r="S39" s="381"/>
      <c r="T39" t="s" s="267">
        <v>129</v>
      </c>
      <c r="U39" s="268"/>
      <c r="V39" t="s" s="269">
        <v>130</v>
      </c>
      <c r="W39" t="s" s="267">
        <v>131</v>
      </c>
      <c r="X39" t="s" s="269">
        <v>130</v>
      </c>
      <c r="Y39" s="255"/>
      <c r="Z39" s="256"/>
      <c r="AA39" s="257"/>
      <c r="AB39" t="s" s="267">
        <v>115</v>
      </c>
      <c r="AC39" t="s" s="270">
        <v>115</v>
      </c>
      <c r="AD39" t="s" s="269">
        <v>132</v>
      </c>
      <c r="AE39" t="s" s="267">
        <v>172</v>
      </c>
      <c r="AF39" t="s" s="269">
        <v>173</v>
      </c>
      <c r="AG39" t="s" s="267">
        <v>174</v>
      </c>
      <c r="AH39" t="s" s="269">
        <v>175</v>
      </c>
      <c r="AI39" s="380"/>
      <c r="AJ39" s="161"/>
      <c r="AK39" s="161"/>
      <c r="AL39" s="161"/>
      <c r="AM39" s="161"/>
      <c r="AN39" s="161"/>
      <c r="AO39" s="161"/>
      <c r="AP39" s="161"/>
      <c r="AQ39" s="161"/>
      <c r="AR39" s="161"/>
      <c r="AS39" s="161"/>
      <c r="AT39" s="161"/>
      <c r="AU39" s="161"/>
      <c r="AV39" s="161"/>
      <c r="AW39" s="161"/>
      <c r="AX39" s="161"/>
      <c r="AY39" s="161"/>
      <c r="AZ39" s="161"/>
      <c r="BA39" s="161"/>
      <c r="BB39" s="161"/>
      <c r="BC39" s="161"/>
      <c r="BD39" s="161"/>
      <c r="BE39" s="161"/>
      <c r="BF39" s="161"/>
      <c r="BG39" s="161"/>
      <c r="BH39" s="161"/>
      <c r="BI39" s="161"/>
      <c r="BJ39" s="161"/>
      <c r="BK39" s="161"/>
      <c r="BL39" s="161"/>
      <c r="BM39" s="161"/>
      <c r="BN39" s="161"/>
      <c r="BO39" s="161"/>
      <c r="BP39" s="161"/>
      <c r="BQ39" s="161"/>
      <c r="BR39" s="161"/>
      <c r="BS39" s="161"/>
      <c r="BT39" s="161"/>
      <c r="BU39" s="161"/>
      <c r="BV39" s="161"/>
      <c r="BW39" s="161"/>
      <c r="BX39" s="161"/>
      <c r="BY39" s="161"/>
      <c r="BZ39" s="161"/>
      <c r="CA39" s="161"/>
      <c r="CB39" s="161"/>
      <c r="CC39" s="161"/>
      <c r="CD39" s="161"/>
      <c r="CE39" s="161"/>
      <c r="CF39" s="161"/>
      <c r="CG39" s="161"/>
      <c r="CH39" s="161"/>
      <c r="CI39" s="161"/>
      <c r="CJ39" s="161"/>
      <c r="CK39" s="161"/>
      <c r="CL39" s="161"/>
      <c r="CM39" s="161"/>
      <c r="CN39" s="161"/>
      <c r="CO39" s="161"/>
      <c r="CP39" s="161"/>
      <c r="CQ39" s="161"/>
      <c r="CR39" s="161"/>
      <c r="CS39" s="161"/>
      <c r="CT39" s="161"/>
      <c r="CU39" s="161"/>
      <c r="CV39" s="161"/>
      <c r="CW39" s="161"/>
      <c r="CX39" s="161"/>
      <c r="CY39" s="161"/>
      <c r="CZ39" s="161"/>
      <c r="DA39" s="161"/>
      <c r="DB39" s="161"/>
      <c r="DC39" s="161"/>
      <c r="DD39" s="161"/>
      <c r="DE39" s="161"/>
      <c r="DF39" s="161"/>
      <c r="DG39" s="161"/>
      <c r="DH39" s="161"/>
      <c r="DI39" s="161"/>
      <c r="DJ39" s="161"/>
      <c r="DK39" s="161"/>
      <c r="DL39" s="161"/>
      <c r="DM39" s="161"/>
      <c r="DN39" s="161"/>
      <c r="DO39" s="161"/>
      <c r="DP39" s="161"/>
      <c r="DQ39" s="161"/>
      <c r="DR39" s="161"/>
      <c r="DS39" s="161"/>
      <c r="DT39" s="161"/>
      <c r="DU39" s="161"/>
      <c r="DV39" s="161"/>
      <c r="DW39" s="161"/>
      <c r="DX39" s="161"/>
    </row>
    <row r="40" ht="15.6" customHeight="1">
      <c r="A40" s="379"/>
      <c r="B40" s="272">
        <v>1</v>
      </c>
      <c r="C40" t="s" s="387">
        <v>136</v>
      </c>
      <c r="D40" t="s" s="388">
        <v>137</v>
      </c>
      <c r="E40" t="s" s="389">
        <f>IF(D40="","",VLOOKUP(D40,'10. Condition and Temporal'!$B$6:$D$103,3,FALSE))</f>
        <v>140</v>
      </c>
      <c r="F40" t="s" s="390">
        <v>176</v>
      </c>
      <c r="G40" s="391"/>
      <c r="H40" t="s" s="392">
        <v>138</v>
      </c>
      <c r="I40" s="393">
        <v>70.62139999999999</v>
      </c>
      <c r="J40" s="394"/>
      <c r="K40" s="395"/>
      <c r="L40" s="396">
        <f>IF(C40="","",_xlfn.IFERROR(IF(I40="","",((I40/10000)*(V40*X40))*(AH40*AF40)*AD40),"This intervention is not permitted within the SSM ▲"))</f>
        <v>0</v>
      </c>
      <c r="M40" s="397"/>
      <c r="N40" s="398"/>
      <c r="O40" s="399"/>
      <c r="P40" s="275"/>
      <c r="Q40" s="400"/>
      <c r="R40" s="219"/>
      <c r="S40" s="381"/>
      <c r="T40" t="s" s="285">
        <f>IF(C40="","",VLOOKUP(D40,'9. All Habitats + Multipliers'!$C$4:$K$102,5,FALSE))</f>
        <v>139</v>
      </c>
      <c r="U40" s="286"/>
      <c r="V40" s="287">
        <f>IF(T40="","",VLOOKUP(T40,'11. Lists'!$B$47:$D$49,2,FALSE))</f>
        <v>0</v>
      </c>
      <c r="W40" t="s" s="285">
        <f>IF(F40="","",F40)</f>
        <v>140</v>
      </c>
      <c r="X40" s="287">
        <f>IF(W40="","",VLOOKUP(W40,'11. Lists'!$F$47:$G$51,2,FALSE))</f>
        <v>0</v>
      </c>
      <c r="Y40" s="288"/>
      <c r="Z40" s="289"/>
      <c r="AA40" s="290"/>
      <c r="AB40" t="s" s="285">
        <f>IF(H40="","",H40)</f>
        <v>141</v>
      </c>
      <c r="AC40" t="s" s="291">
        <f>IF(AB40="","",VLOOKUP(AB40,'11. Lists'!$F$36:$H$38,2,FALSE))</f>
        <v>142</v>
      </c>
      <c r="AD40" s="287">
        <f>IF(AB40="","",VLOOKUP(AB40,'11. Lists'!$F$36:$H$38,3,FALSE))</f>
        <v>1</v>
      </c>
      <c r="AE40" s="401">
        <f>IF(F40="","",IF(F40="Moderate",VLOOKUP(D40,'10. Condition and Temporal'!$B$6:$L$103,6,FALSE),IF(F40="Good",VLOOKUP(D40,'10. Condition and Temporal'!$B$6:$L$103,7,FALSE),IF(F40="Poor",VLOOKUP(D40,'10. Condition and Temporal'!$B$6:$L$103,8,FALSE),IF(F40="Condition Assessment N/A",VLOOKUP(D40,'10. Condition and Temporal'!$B$6:$L$103,9,FALSE),IF(F40="N/A - Other",VLOOKUP(D40,'10. Condition and Temporal'!$B$6:$L$103,10,FALSE)))))))</f>
        <v>0</v>
      </c>
      <c r="AF40" s="402">
        <f>IF(AE40="","",VLOOKUP(AE40,'11. Lists'!$I$47:$K$80,3,FALSE))</f>
        <v>1</v>
      </c>
      <c r="AG40" t="s" s="285">
        <f>IF(D40="","",VLOOKUP(D40,'9. All Habitats + Multipliers'!$C$4:$K$102,7,FALSE))</f>
        <v>177</v>
      </c>
      <c r="AH40" s="287">
        <f>IF(AG40="","",VLOOKUP(AG40,'11. Lists'!$J$35:$K$38,2,FALSE))</f>
        <v>1</v>
      </c>
      <c r="AI40" s="380"/>
      <c r="AJ40" s="161"/>
      <c r="AK40" s="161"/>
      <c r="AL40" s="161"/>
      <c r="AM40" s="161"/>
      <c r="AN40" s="161"/>
      <c r="AO40" s="161"/>
      <c r="AP40" s="161"/>
      <c r="AQ40" s="161"/>
      <c r="AR40" s="161"/>
      <c r="AS40" s="161"/>
      <c r="AT40" s="161"/>
      <c r="AU40" s="161"/>
      <c r="AV40" s="161"/>
      <c r="AW40" s="161"/>
      <c r="AX40" s="161"/>
      <c r="AY40" s="161"/>
      <c r="AZ40" s="161"/>
      <c r="BA40" s="161"/>
      <c r="BB40" s="161"/>
      <c r="BC40" s="161"/>
      <c r="BD40" s="161"/>
      <c r="BE40" s="161"/>
      <c r="BF40" s="161"/>
      <c r="BG40" s="161"/>
      <c r="BH40" s="161"/>
      <c r="BI40" s="161"/>
      <c r="BJ40" s="161"/>
      <c r="BK40" s="161"/>
      <c r="BL40" s="161"/>
      <c r="BM40" s="161"/>
      <c r="BN40" s="161"/>
      <c r="BO40" s="161"/>
      <c r="BP40" s="161"/>
      <c r="BQ40" s="161"/>
      <c r="BR40" s="161"/>
      <c r="BS40" s="161"/>
      <c r="BT40" s="161"/>
      <c r="BU40" s="161"/>
      <c r="BV40" s="161"/>
      <c r="BW40" s="161"/>
      <c r="BX40" s="161"/>
      <c r="BY40" s="161"/>
      <c r="BZ40" s="161"/>
      <c r="CA40" s="161"/>
      <c r="CB40" s="161"/>
      <c r="CC40" s="161"/>
      <c r="CD40" s="161"/>
      <c r="CE40" s="161"/>
      <c r="CF40" s="161"/>
      <c r="CG40" s="161"/>
      <c r="CH40" s="161"/>
      <c r="CI40" s="161"/>
      <c r="CJ40" s="161"/>
      <c r="CK40" s="161"/>
      <c r="CL40" s="161"/>
      <c r="CM40" s="161"/>
      <c r="CN40" s="161"/>
      <c r="CO40" s="161"/>
      <c r="CP40" s="161"/>
      <c r="CQ40" s="161"/>
      <c r="CR40" s="161"/>
      <c r="CS40" s="161"/>
      <c r="CT40" s="161"/>
      <c r="CU40" s="161"/>
      <c r="CV40" s="161"/>
      <c r="CW40" s="161"/>
      <c r="CX40" s="161"/>
      <c r="CY40" s="161"/>
      <c r="CZ40" s="161"/>
      <c r="DA40" s="161"/>
      <c r="DB40" s="161"/>
      <c r="DC40" s="161"/>
      <c r="DD40" s="161"/>
      <c r="DE40" s="161"/>
      <c r="DF40" s="161"/>
      <c r="DG40" s="161"/>
      <c r="DH40" s="161"/>
      <c r="DI40" s="161"/>
      <c r="DJ40" s="161"/>
      <c r="DK40" s="161"/>
      <c r="DL40" s="161"/>
      <c r="DM40" s="161"/>
      <c r="DN40" s="161"/>
      <c r="DO40" s="161"/>
      <c r="DP40" s="161"/>
      <c r="DQ40" s="161"/>
      <c r="DR40" s="161"/>
      <c r="DS40" s="161"/>
      <c r="DT40" s="161"/>
      <c r="DU40" s="161"/>
      <c r="DV40" s="161"/>
      <c r="DW40" s="161"/>
      <c r="DX40" s="161"/>
    </row>
    <row r="41" ht="15.6" customHeight="1">
      <c r="A41" s="379"/>
      <c r="B41" s="296">
        <v>2</v>
      </c>
      <c r="C41" t="s" s="403">
        <v>136</v>
      </c>
      <c r="D41" t="s" s="404">
        <v>178</v>
      </c>
      <c r="E41" t="s" s="405">
        <f>IF(D41="","",VLOOKUP(D41,'10. Condition and Temporal'!$B$6:$D$103,3,FALSE))</f>
        <v>179</v>
      </c>
      <c r="F41" t="s" s="406">
        <v>180</v>
      </c>
      <c r="G41" s="407"/>
      <c r="H41" t="s" s="408">
        <v>138</v>
      </c>
      <c r="I41" s="409">
        <v>1.2308</v>
      </c>
      <c r="J41" s="410"/>
      <c r="K41" s="411"/>
      <c r="L41" s="412">
        <f>IF(C41="","",_xlfn.IFERROR(IF(I41="","",((I41/10000)*(V41*X41))*(AH41*AF41)*AD41),"This intervention is not permitted within the SSM ▲"))</f>
        <v>0.0002375444</v>
      </c>
      <c r="M41" s="413"/>
      <c r="N41" s="414"/>
      <c r="O41" s="415"/>
      <c r="P41" s="315"/>
      <c r="Q41" s="400"/>
      <c r="R41" s="219"/>
      <c r="S41" s="381"/>
      <c r="T41" t="s" s="285">
        <f>IF(C41="","",VLOOKUP(D41,'9. All Habitats + Multipliers'!$C$4:$K$102,5,FALSE))</f>
        <v>181</v>
      </c>
      <c r="U41" s="286"/>
      <c r="V41" s="287">
        <f>IF(T41="","",VLOOKUP(T41,'11. Lists'!$B$47:$D$49,2,FALSE))</f>
        <v>2</v>
      </c>
      <c r="W41" t="s" s="285">
        <f>IF(F41="","",F41)</f>
        <v>179</v>
      </c>
      <c r="X41" s="287">
        <f>IF(W41="","",VLOOKUP(W41,'11. Lists'!$F$47:$G$51,2,FALSE))</f>
        <v>1</v>
      </c>
      <c r="Y41" s="288"/>
      <c r="Z41" s="289"/>
      <c r="AA41" s="290"/>
      <c r="AB41" t="s" s="285">
        <f>IF(H41="","",H41)</f>
        <v>141</v>
      </c>
      <c r="AC41" t="s" s="291">
        <f>IF(AB41="","",VLOOKUP(AB41,'11. Lists'!$F$36:$H$38,2,FALSE))</f>
        <v>142</v>
      </c>
      <c r="AD41" s="287">
        <f>IF(AB41="","",VLOOKUP(AB41,'11. Lists'!$F$36:$H$38,3,FALSE))</f>
        <v>1</v>
      </c>
      <c r="AE41" s="401">
        <f>IF(F41="","",IF(F41="Moderate",VLOOKUP(D41,'10. Condition and Temporal'!$B$6:$L$103,6,FALSE),IF(F41="Good",VLOOKUP(D41,'10. Condition and Temporal'!$B$6:$L$103,7,FALSE),IF(F41="Poor",VLOOKUP(D41,'10. Condition and Temporal'!$B$6:$L$103,8,FALSE),IF(F41="Condition Assessment N/A",VLOOKUP(D41,'10. Condition and Temporal'!$B$6:$L$103,9,FALSE),IF(F41="N/A - Other",VLOOKUP(D41,'10. Condition and Temporal'!$B$6:$L$103,10,FALSE)))))))</f>
        <v>1</v>
      </c>
      <c r="AF41" s="402">
        <f>IF(AE41="","",VLOOKUP(AE41,'11. Lists'!$I$47:$K$80,3,FALSE))</f>
        <v>0.965</v>
      </c>
      <c r="AG41" t="s" s="285">
        <f>IF(D41="","",VLOOKUP(D41,'9. All Habitats + Multipliers'!$C$4:$K$102,7,FALSE))</f>
        <v>177</v>
      </c>
      <c r="AH41" s="287">
        <f>IF(AG41="","",VLOOKUP(AG41,'11. Lists'!$J$35:$K$38,2,FALSE))</f>
        <v>1</v>
      </c>
      <c r="AI41" s="380"/>
      <c r="AJ41" s="161"/>
      <c r="AK41" s="161"/>
      <c r="AL41" s="161"/>
      <c r="AM41" s="161"/>
      <c r="AN41" s="161"/>
      <c r="AO41" s="161"/>
      <c r="AP41" s="161"/>
      <c r="AQ41" s="161"/>
      <c r="AR41" s="161"/>
      <c r="AS41" s="161"/>
      <c r="AT41" s="161"/>
      <c r="AU41" s="161"/>
      <c r="AV41" s="161"/>
      <c r="AW41" s="161"/>
      <c r="AX41" s="161"/>
      <c r="AY41" s="161"/>
      <c r="AZ41" s="161"/>
      <c r="BA41" s="161"/>
      <c r="BB41" s="161"/>
      <c r="BC41" s="161"/>
      <c r="BD41" s="161"/>
      <c r="BE41" s="161"/>
      <c r="BF41" s="161"/>
      <c r="BG41" s="161"/>
      <c r="BH41" s="161"/>
      <c r="BI41" s="161"/>
      <c r="BJ41" s="161"/>
      <c r="BK41" s="161"/>
      <c r="BL41" s="161"/>
      <c r="BM41" s="161"/>
      <c r="BN41" s="161"/>
      <c r="BO41" s="161"/>
      <c r="BP41" s="161"/>
      <c r="BQ41" s="161"/>
      <c r="BR41" s="161"/>
      <c r="BS41" s="161"/>
      <c r="BT41" s="161"/>
      <c r="BU41" s="161"/>
      <c r="BV41" s="161"/>
      <c r="BW41" s="161"/>
      <c r="BX41" s="161"/>
      <c r="BY41" s="161"/>
      <c r="BZ41" s="161"/>
      <c r="CA41" s="161"/>
      <c r="CB41" s="161"/>
      <c r="CC41" s="161"/>
      <c r="CD41" s="161"/>
      <c r="CE41" s="161"/>
      <c r="CF41" s="161"/>
      <c r="CG41" s="161"/>
      <c r="CH41" s="161"/>
      <c r="CI41" s="161"/>
      <c r="CJ41" s="161"/>
      <c r="CK41" s="161"/>
      <c r="CL41" s="161"/>
      <c r="CM41" s="161"/>
      <c r="CN41" s="161"/>
      <c r="CO41" s="161"/>
      <c r="CP41" s="161"/>
      <c r="CQ41" s="161"/>
      <c r="CR41" s="161"/>
      <c r="CS41" s="161"/>
      <c r="CT41" s="161"/>
      <c r="CU41" s="161"/>
      <c r="CV41" s="161"/>
      <c r="CW41" s="161"/>
      <c r="CX41" s="161"/>
      <c r="CY41" s="161"/>
      <c r="CZ41" s="161"/>
      <c r="DA41" s="161"/>
      <c r="DB41" s="161"/>
      <c r="DC41" s="161"/>
      <c r="DD41" s="161"/>
      <c r="DE41" s="161"/>
      <c r="DF41" s="161"/>
      <c r="DG41" s="161"/>
      <c r="DH41" s="161"/>
      <c r="DI41" s="161"/>
      <c r="DJ41" s="161"/>
      <c r="DK41" s="161"/>
      <c r="DL41" s="161"/>
      <c r="DM41" s="161"/>
      <c r="DN41" s="161"/>
      <c r="DO41" s="161"/>
      <c r="DP41" s="161"/>
      <c r="DQ41" s="161"/>
      <c r="DR41" s="161"/>
      <c r="DS41" s="161"/>
      <c r="DT41" s="161"/>
      <c r="DU41" s="161"/>
      <c r="DV41" s="161"/>
      <c r="DW41" s="161"/>
      <c r="DX41" s="161"/>
    </row>
    <row r="42" ht="15.6" customHeight="1">
      <c r="A42" s="379"/>
      <c r="B42" s="296">
        <v>3</v>
      </c>
      <c r="C42" s="415"/>
      <c r="D42" s="315"/>
      <c r="E42" t="s" s="405">
        <f>IF(D42="","",VLOOKUP(D42,'10. Condition and Temporal'!$B$6:$D$103,3,FALSE))</f>
      </c>
      <c r="F42" s="416"/>
      <c r="G42" s="407"/>
      <c r="H42" s="417"/>
      <c r="I42" s="409"/>
      <c r="J42" s="410"/>
      <c r="K42" s="411"/>
      <c r="L42" t="s" s="418">
        <f>IF(C42="","",_xlfn.IFERROR(IF(I42="","",((I42/10000)*(V42*X42))*(AH42*AF42)*AD42),"This intervention is not permitted within the SSM ▲"))</f>
      </c>
      <c r="M42" s="413"/>
      <c r="N42" s="414"/>
      <c r="O42" s="415"/>
      <c r="P42" s="315"/>
      <c r="Q42" s="400"/>
      <c r="R42" s="219"/>
      <c r="S42" s="381"/>
      <c r="T42" t="s" s="285">
        <f>IF(C42="","",VLOOKUP(D42,'9. All Habitats + Multipliers'!$C$4:$K$102,5,FALSE))</f>
      </c>
      <c r="U42" s="286"/>
      <c r="V42" t="s" s="313">
        <f>IF(T42="","",VLOOKUP(T42,'11. Lists'!$B$47:$D$49,2,FALSE))</f>
      </c>
      <c r="W42" t="s" s="285">
        <f>IF(F42="","",F42)</f>
      </c>
      <c r="X42" t="s" s="313">
        <f>IF(W42="","",VLOOKUP(W42,'11. Lists'!$F$47:$G$51,2,FALSE))</f>
      </c>
      <c r="Y42" s="288"/>
      <c r="Z42" s="289"/>
      <c r="AA42" s="290"/>
      <c r="AB42" t="s" s="285">
        <f>IF(H42="","",H42)</f>
      </c>
      <c r="AC42" t="s" s="291">
        <f>IF(AB42="","",VLOOKUP(AB42,'11. Lists'!$F$36:$H$38,2,FALSE))</f>
      </c>
      <c r="AD42" t="s" s="313">
        <f>IF(AB42="","",VLOOKUP(AB42,'11. Lists'!$F$36:$H$38,3,FALSE))</f>
      </c>
      <c r="AE42" t="s" s="285">
        <f>IF(F42="","",IF(F42="Moderate",VLOOKUP(D42,'10. Condition and Temporal'!$B$6:$L$103,6,FALSE),IF(F42="Good",VLOOKUP(D42,'10. Condition and Temporal'!$B$6:$L$103,7,FALSE),IF(F42="Poor",VLOOKUP(D42,'10. Condition and Temporal'!$B$6:$L$103,8,FALSE),IF(F42="Condition Assessment N/A",VLOOKUP(D42,'10. Condition and Temporal'!$B$6:$L$103,9,FALSE),IF(F42="N/A - Other",VLOOKUP(D42,'10. Condition and Temporal'!$B$6:$L$103,10,FALSE)))))))</f>
      </c>
      <c r="AF42" t="s" s="313">
        <f>IF(AE42="","",VLOOKUP(AE42,'11. Lists'!$I$47:$K$80,3,FALSE))</f>
      </c>
      <c r="AG42" t="s" s="285">
        <f>IF(D42="","",VLOOKUP(D42,'9. All Habitats + Multipliers'!$C$4:$K$102,7,FALSE))</f>
      </c>
      <c r="AH42" t="s" s="313">
        <f>IF(AG42="","",VLOOKUP(AG42,'11. Lists'!$J$35:$K$38,2,FALSE))</f>
      </c>
      <c r="AI42" s="380"/>
      <c r="AJ42" s="161"/>
      <c r="AK42" s="161"/>
      <c r="AL42" s="161"/>
      <c r="AM42" s="161"/>
      <c r="AN42" s="161"/>
      <c r="AO42" s="161"/>
      <c r="AP42" s="161"/>
      <c r="AQ42" s="161"/>
      <c r="AR42" s="161"/>
      <c r="AS42" s="161"/>
      <c r="AT42" s="161"/>
      <c r="AU42" s="161"/>
      <c r="AV42" s="161"/>
      <c r="AW42" s="161"/>
      <c r="AX42" s="161"/>
      <c r="AY42" s="161"/>
      <c r="AZ42" s="161"/>
      <c r="BA42" s="161"/>
      <c r="BB42" s="161"/>
      <c r="BC42" s="161"/>
      <c r="BD42" s="161"/>
      <c r="BE42" s="161"/>
      <c r="BF42" s="161"/>
      <c r="BG42" s="161"/>
      <c r="BH42" s="161"/>
      <c r="BI42" s="161"/>
      <c r="BJ42" s="161"/>
      <c r="BK42" s="161"/>
      <c r="BL42" s="161"/>
      <c r="BM42" s="161"/>
      <c r="BN42" s="161"/>
      <c r="BO42" s="161"/>
      <c r="BP42" s="161"/>
      <c r="BQ42" s="161"/>
      <c r="BR42" s="161"/>
      <c r="BS42" s="161"/>
      <c r="BT42" s="161"/>
      <c r="BU42" s="161"/>
      <c r="BV42" s="161"/>
      <c r="BW42" s="161"/>
      <c r="BX42" s="161"/>
      <c r="BY42" s="161"/>
      <c r="BZ42" s="161"/>
      <c r="CA42" s="161"/>
      <c r="CB42" s="161"/>
      <c r="CC42" s="161"/>
      <c r="CD42" s="161"/>
      <c r="CE42" s="161"/>
      <c r="CF42" s="161"/>
      <c r="CG42" s="161"/>
      <c r="CH42" s="161"/>
      <c r="CI42" s="161"/>
      <c r="CJ42" s="161"/>
      <c r="CK42" s="161"/>
      <c r="CL42" s="161"/>
      <c r="CM42" s="161"/>
      <c r="CN42" s="161"/>
      <c r="CO42" s="161"/>
      <c r="CP42" s="161"/>
      <c r="CQ42" s="161"/>
      <c r="CR42" s="161"/>
      <c r="CS42" s="161"/>
      <c r="CT42" s="161"/>
      <c r="CU42" s="161"/>
      <c r="CV42" s="161"/>
      <c r="CW42" s="161"/>
      <c r="CX42" s="161"/>
      <c r="CY42" s="161"/>
      <c r="CZ42" s="161"/>
      <c r="DA42" s="161"/>
      <c r="DB42" s="161"/>
      <c r="DC42" s="161"/>
      <c r="DD42" s="161"/>
      <c r="DE42" s="161"/>
      <c r="DF42" s="161"/>
      <c r="DG42" s="161"/>
      <c r="DH42" s="161"/>
      <c r="DI42" s="161"/>
      <c r="DJ42" s="161"/>
      <c r="DK42" s="161"/>
      <c r="DL42" s="161"/>
      <c r="DM42" s="161"/>
      <c r="DN42" s="161"/>
      <c r="DO42" s="161"/>
      <c r="DP42" s="161"/>
      <c r="DQ42" s="161"/>
      <c r="DR42" s="161"/>
      <c r="DS42" s="161"/>
      <c r="DT42" s="161"/>
      <c r="DU42" s="161"/>
      <c r="DV42" s="161"/>
      <c r="DW42" s="161"/>
      <c r="DX42" s="161"/>
    </row>
    <row r="43" ht="15.6" customHeight="1">
      <c r="A43" s="379"/>
      <c r="B43" s="296">
        <v>4</v>
      </c>
      <c r="C43" s="415"/>
      <c r="D43" s="315"/>
      <c r="E43" t="s" s="405">
        <f>IF(D43="","",VLOOKUP(D43,'10. Condition and Temporal'!$B$6:$D$103,3,FALSE))</f>
      </c>
      <c r="F43" s="416"/>
      <c r="G43" s="407"/>
      <c r="H43" s="417"/>
      <c r="I43" s="409"/>
      <c r="J43" s="410"/>
      <c r="K43" s="411"/>
      <c r="L43" t="s" s="418">
        <f>IF(C43="","",_xlfn.IFERROR(IF(I43="","",((I43/10000)*(V43*X43))*(AH43*AF43)*AD43),"This intervention is not permitted within the SSM ▲"))</f>
      </c>
      <c r="M43" s="413"/>
      <c r="N43" s="414"/>
      <c r="O43" s="415"/>
      <c r="P43" s="315"/>
      <c r="Q43" s="400"/>
      <c r="R43" s="219"/>
      <c r="S43" s="381"/>
      <c r="T43" t="s" s="285">
        <f>IF(C43="","",VLOOKUP(D43,'9. All Habitats + Multipliers'!$C$4:$K$102,5,FALSE))</f>
      </c>
      <c r="U43" s="286"/>
      <c r="V43" t="s" s="313">
        <f>IF(T43="","",VLOOKUP(T43,'11. Lists'!$B$47:$D$49,2,FALSE))</f>
      </c>
      <c r="W43" t="s" s="285">
        <f>IF(F43="","",F43)</f>
      </c>
      <c r="X43" t="s" s="313">
        <f>IF(W43="","",VLOOKUP(W43,'11. Lists'!$F$47:$G$51,2,FALSE))</f>
      </c>
      <c r="Y43" s="288"/>
      <c r="Z43" s="289"/>
      <c r="AA43" s="290"/>
      <c r="AB43" t="s" s="285">
        <f>IF(H43="","",H43)</f>
      </c>
      <c r="AC43" t="s" s="291">
        <f>IF(AB43="","",VLOOKUP(AB43,'11. Lists'!$F$36:$H$38,2,FALSE))</f>
      </c>
      <c r="AD43" t="s" s="313">
        <f>IF(AB43="","",VLOOKUP(AB43,'11. Lists'!$F$36:$H$38,3,FALSE))</f>
      </c>
      <c r="AE43" t="s" s="285">
        <f>IF(F43="","",IF(F43="Moderate",VLOOKUP(D43,'10. Condition and Temporal'!$B$6:$L$103,6,FALSE),IF(F43="Good",VLOOKUP(D43,'10. Condition and Temporal'!$B$6:$L$103,7,FALSE),IF(F43="Poor",VLOOKUP(D43,'10. Condition and Temporal'!$B$6:$L$103,8,FALSE),IF(F43="Condition Assessment N/A",VLOOKUP(D43,'10. Condition and Temporal'!$B$6:$L$103,9,FALSE),IF(F43="N/A - Other",VLOOKUP(D43,'10. Condition and Temporal'!$B$6:$L$103,10,FALSE)))))))</f>
      </c>
      <c r="AF43" t="s" s="313">
        <f>IF(AE43="","",VLOOKUP(AE43,'11. Lists'!$I$47:$K$80,3,FALSE))</f>
      </c>
      <c r="AG43" t="s" s="285">
        <f>IF(D43="","",VLOOKUP(D43,'9. All Habitats + Multipliers'!$C$4:$K$102,7,FALSE))</f>
      </c>
      <c r="AH43" t="s" s="313">
        <f>IF(AG43="","",VLOOKUP(AG43,'11. Lists'!$J$35:$K$38,2,FALSE))</f>
      </c>
      <c r="AI43" s="380"/>
      <c r="AJ43" s="161"/>
      <c r="AK43" s="161"/>
      <c r="AL43" s="161"/>
      <c r="AM43" s="161"/>
      <c r="AN43" s="161"/>
      <c r="AO43" s="161"/>
      <c r="AP43" s="161"/>
      <c r="AQ43" s="161"/>
      <c r="AR43" s="161"/>
      <c r="AS43" s="161"/>
      <c r="AT43" s="161"/>
      <c r="AU43" s="161"/>
      <c r="AV43" s="161"/>
      <c r="AW43" s="161"/>
      <c r="AX43" s="161"/>
      <c r="AY43" s="161"/>
      <c r="AZ43" s="161"/>
      <c r="BA43" s="161"/>
      <c r="BB43" s="161"/>
      <c r="BC43" s="161"/>
      <c r="BD43" s="161"/>
      <c r="BE43" s="161"/>
      <c r="BF43" s="161"/>
      <c r="BG43" s="161"/>
      <c r="BH43" s="161"/>
      <c r="BI43" s="161"/>
      <c r="BJ43" s="161"/>
      <c r="BK43" s="161"/>
      <c r="BL43" s="161"/>
      <c r="BM43" s="161"/>
      <c r="BN43" s="161"/>
      <c r="BO43" s="161"/>
      <c r="BP43" s="161"/>
      <c r="BQ43" s="161"/>
      <c r="BR43" s="161"/>
      <c r="BS43" s="161"/>
      <c r="BT43" s="161"/>
      <c r="BU43" s="161"/>
      <c r="BV43" s="161"/>
      <c r="BW43" s="161"/>
      <c r="BX43" s="161"/>
      <c r="BY43" s="161"/>
      <c r="BZ43" s="161"/>
      <c r="CA43" s="161"/>
      <c r="CB43" s="161"/>
      <c r="CC43" s="161"/>
      <c r="CD43" s="161"/>
      <c r="CE43" s="161"/>
      <c r="CF43" s="161"/>
      <c r="CG43" s="161"/>
      <c r="CH43" s="161"/>
      <c r="CI43" s="161"/>
      <c r="CJ43" s="161"/>
      <c r="CK43" s="161"/>
      <c r="CL43" s="161"/>
      <c r="CM43" s="161"/>
      <c r="CN43" s="161"/>
      <c r="CO43" s="161"/>
      <c r="CP43" s="161"/>
      <c r="CQ43" s="161"/>
      <c r="CR43" s="161"/>
      <c r="CS43" s="161"/>
      <c r="CT43" s="161"/>
      <c r="CU43" s="161"/>
      <c r="CV43" s="161"/>
      <c r="CW43" s="161"/>
      <c r="CX43" s="161"/>
      <c r="CY43" s="161"/>
      <c r="CZ43" s="161"/>
      <c r="DA43" s="161"/>
      <c r="DB43" s="161"/>
      <c r="DC43" s="161"/>
      <c r="DD43" s="161"/>
      <c r="DE43" s="161"/>
      <c r="DF43" s="161"/>
      <c r="DG43" s="161"/>
      <c r="DH43" s="161"/>
      <c r="DI43" s="161"/>
      <c r="DJ43" s="161"/>
      <c r="DK43" s="161"/>
      <c r="DL43" s="161"/>
      <c r="DM43" s="161"/>
      <c r="DN43" s="161"/>
      <c r="DO43" s="161"/>
      <c r="DP43" s="161"/>
      <c r="DQ43" s="161"/>
      <c r="DR43" s="161"/>
      <c r="DS43" s="161"/>
      <c r="DT43" s="161"/>
      <c r="DU43" s="161"/>
      <c r="DV43" s="161"/>
      <c r="DW43" s="161"/>
      <c r="DX43" s="161"/>
    </row>
    <row r="44" ht="15.6" customHeight="1">
      <c r="A44" s="379"/>
      <c r="B44" s="296">
        <v>5</v>
      </c>
      <c r="C44" s="415"/>
      <c r="D44" s="315"/>
      <c r="E44" t="s" s="405">
        <f>IF(D44="","",VLOOKUP(D44,'10. Condition and Temporal'!$B$6:$D$103,3,FALSE))</f>
      </c>
      <c r="F44" s="416"/>
      <c r="G44" s="407"/>
      <c r="H44" s="417"/>
      <c r="I44" s="409"/>
      <c r="J44" s="410"/>
      <c r="K44" s="411"/>
      <c r="L44" t="s" s="418">
        <f>IF(C44="","",_xlfn.IFERROR(IF(I44="","",((I44/10000)*(V44*X44))*(AH44*AF44)*AD44),"This intervention is not permitted within the SSM ▲"))</f>
      </c>
      <c r="M44" s="413"/>
      <c r="N44" s="414"/>
      <c r="O44" s="415"/>
      <c r="P44" s="315"/>
      <c r="Q44" s="380"/>
      <c r="R44" s="219"/>
      <c r="S44" s="381"/>
      <c r="T44" t="s" s="285">
        <f>IF(C44="","",VLOOKUP(D44,'9. All Habitats + Multipliers'!$C$4:$K$102,5,FALSE))</f>
      </c>
      <c r="U44" s="286"/>
      <c r="V44" t="s" s="313">
        <f>IF(T44="","",VLOOKUP(T44,'11. Lists'!$B$47:$D$49,2,FALSE))</f>
      </c>
      <c r="W44" t="s" s="285">
        <f>IF(F44="","",F44)</f>
      </c>
      <c r="X44" t="s" s="313">
        <f>IF(W44="","",VLOOKUP(W44,'11. Lists'!$F$47:$G$51,2,FALSE))</f>
      </c>
      <c r="Y44" s="288"/>
      <c r="Z44" s="289"/>
      <c r="AA44" s="290"/>
      <c r="AB44" t="s" s="285">
        <f>IF(H44="","",H44)</f>
      </c>
      <c r="AC44" t="s" s="291">
        <f>IF(AB44="","",VLOOKUP(AB44,'11. Lists'!$F$36:$H$38,2,FALSE))</f>
      </c>
      <c r="AD44" t="s" s="313">
        <f>IF(AB44="","",VLOOKUP(AB44,'11. Lists'!$F$36:$H$38,3,FALSE))</f>
      </c>
      <c r="AE44" t="s" s="285">
        <f>IF(F44="","",IF(F44="Moderate",VLOOKUP(D44,'10. Condition and Temporal'!$B$6:$L$103,6,FALSE),IF(F44="Good",VLOOKUP(D44,'10. Condition and Temporal'!$B$6:$L$103,7,FALSE),IF(F44="Poor",VLOOKUP(D44,'10. Condition and Temporal'!$B$6:$L$103,8,FALSE),IF(F44="Condition Assessment N/A",VLOOKUP(D44,'10. Condition and Temporal'!$B$6:$L$103,9,FALSE),IF(F44="N/A - Other",VLOOKUP(D44,'10. Condition and Temporal'!$B$6:$L$103,10,FALSE)))))))</f>
      </c>
      <c r="AF44" t="s" s="313">
        <f>IF(AE44="","",VLOOKUP(AE44,'11. Lists'!$I$47:$K$80,3,FALSE))</f>
      </c>
      <c r="AG44" t="s" s="285">
        <f>IF(D44="","",VLOOKUP(D44,'9. All Habitats + Multipliers'!$C$4:$K$102,7,FALSE))</f>
      </c>
      <c r="AH44" t="s" s="313">
        <f>IF(AG44="","",VLOOKUP(AG44,'11. Lists'!$J$35:$K$38,2,FALSE))</f>
      </c>
      <c r="AI44" s="380"/>
      <c r="AJ44" s="161"/>
      <c r="AK44" s="161"/>
      <c r="AL44" s="161"/>
      <c r="AM44" s="161"/>
      <c r="AN44" s="161"/>
      <c r="AO44" s="161"/>
      <c r="AP44" s="161"/>
      <c r="AQ44" s="161"/>
      <c r="AR44" s="161"/>
      <c r="AS44" s="161"/>
      <c r="AT44" s="161"/>
      <c r="AU44" s="161"/>
      <c r="AV44" s="161"/>
      <c r="AW44" s="161"/>
      <c r="AX44" s="161"/>
      <c r="AY44" s="161"/>
      <c r="AZ44" s="161"/>
      <c r="BA44" s="161"/>
      <c r="BB44" s="161"/>
      <c r="BC44" s="161"/>
      <c r="BD44" s="161"/>
      <c r="BE44" s="161"/>
      <c r="BF44" s="161"/>
      <c r="BG44" s="161"/>
      <c r="BH44" s="161"/>
      <c r="BI44" s="161"/>
      <c r="BJ44" s="161"/>
      <c r="BK44" s="161"/>
      <c r="BL44" s="161"/>
      <c r="BM44" s="161"/>
      <c r="BN44" s="161"/>
      <c r="BO44" s="161"/>
      <c r="BP44" s="161"/>
      <c r="BQ44" s="161"/>
      <c r="BR44" s="161"/>
      <c r="BS44" s="161"/>
      <c r="BT44" s="161"/>
      <c r="BU44" s="161"/>
      <c r="BV44" s="161"/>
      <c r="BW44" s="161"/>
      <c r="BX44" s="161"/>
      <c r="BY44" s="161"/>
      <c r="BZ44" s="161"/>
      <c r="CA44" s="161"/>
      <c r="CB44" s="161"/>
      <c r="CC44" s="161"/>
      <c r="CD44" s="161"/>
      <c r="CE44" s="161"/>
      <c r="CF44" s="161"/>
      <c r="CG44" s="161"/>
      <c r="CH44" s="161"/>
      <c r="CI44" s="161"/>
      <c r="CJ44" s="161"/>
      <c r="CK44" s="161"/>
      <c r="CL44" s="161"/>
      <c r="CM44" s="161"/>
      <c r="CN44" s="161"/>
      <c r="CO44" s="161"/>
      <c r="CP44" s="161"/>
      <c r="CQ44" s="161"/>
      <c r="CR44" s="161"/>
      <c r="CS44" s="161"/>
      <c r="CT44" s="161"/>
      <c r="CU44" s="161"/>
      <c r="CV44" s="161"/>
      <c r="CW44" s="161"/>
      <c r="CX44" s="161"/>
      <c r="CY44" s="161"/>
      <c r="CZ44" s="161"/>
      <c r="DA44" s="161"/>
      <c r="DB44" s="161"/>
      <c r="DC44" s="161"/>
      <c r="DD44" s="161"/>
      <c r="DE44" s="161"/>
      <c r="DF44" s="161"/>
      <c r="DG44" s="161"/>
      <c r="DH44" s="161"/>
      <c r="DI44" s="161"/>
      <c r="DJ44" s="161"/>
      <c r="DK44" s="161"/>
      <c r="DL44" s="161"/>
      <c r="DM44" s="161"/>
      <c r="DN44" s="161"/>
      <c r="DO44" s="161"/>
      <c r="DP44" s="161"/>
      <c r="DQ44" s="161"/>
      <c r="DR44" s="161"/>
      <c r="DS44" s="161"/>
      <c r="DT44" s="161"/>
      <c r="DU44" s="161"/>
      <c r="DV44" s="161"/>
      <c r="DW44" s="161"/>
      <c r="DX44" s="161"/>
    </row>
    <row r="45" ht="15.6" customHeight="1">
      <c r="A45" s="379"/>
      <c r="B45" s="296">
        <v>6</v>
      </c>
      <c r="C45" s="415"/>
      <c r="D45" s="315"/>
      <c r="E45" t="s" s="405">
        <f>IF(D45="","",VLOOKUP(D45,'10. Condition and Temporal'!$B$6:$D$103,3,FALSE))</f>
      </c>
      <c r="F45" s="416"/>
      <c r="G45" s="407"/>
      <c r="H45" s="417"/>
      <c r="I45" s="409"/>
      <c r="J45" s="410"/>
      <c r="K45" s="411"/>
      <c r="L45" t="s" s="418">
        <f>IF(C45="","",_xlfn.IFERROR(IF(I45="","",((I45/10000)*(V45*X45))*(AH45*AF45)*AD45),"This intervention is not permitted within the SSM ▲"))</f>
      </c>
      <c r="M45" s="413"/>
      <c r="N45" s="414"/>
      <c r="O45" s="415"/>
      <c r="P45" s="315"/>
      <c r="Q45" s="380"/>
      <c r="R45" s="219"/>
      <c r="S45" s="381"/>
      <c r="T45" t="s" s="285">
        <f>IF(C45="","",VLOOKUP(D45,'9. All Habitats + Multipliers'!$C$4:$K$102,5,FALSE))</f>
      </c>
      <c r="U45" s="286"/>
      <c r="V45" t="s" s="313">
        <f>IF(T45="","",VLOOKUP(T45,'11. Lists'!$B$47:$D$49,2,FALSE))</f>
      </c>
      <c r="W45" t="s" s="285">
        <f>IF(F45="","",F45)</f>
      </c>
      <c r="X45" t="s" s="313">
        <f>IF(W45="","",VLOOKUP(W45,'11. Lists'!$F$47:$G$51,2,FALSE))</f>
      </c>
      <c r="Y45" s="288"/>
      <c r="Z45" s="289"/>
      <c r="AA45" s="290"/>
      <c r="AB45" t="s" s="285">
        <f>IF(H45="","",H45)</f>
      </c>
      <c r="AC45" t="s" s="291">
        <f>IF(AB45="","",VLOOKUP(AB45,'11. Lists'!$F$36:$H$38,2,FALSE))</f>
      </c>
      <c r="AD45" t="s" s="313">
        <f>IF(AB45="","",VLOOKUP(AB45,'11. Lists'!$F$36:$H$38,3,FALSE))</f>
      </c>
      <c r="AE45" t="s" s="285">
        <f>IF(F45="","",IF(F45="Moderate",VLOOKUP(D45,'10. Condition and Temporal'!$B$6:$L$103,6,FALSE),IF(F45="Good",VLOOKUP(D45,'10. Condition and Temporal'!$B$6:$L$103,7,FALSE),IF(F45="Poor",VLOOKUP(D45,'10. Condition and Temporal'!$B$6:$L$103,8,FALSE),IF(F45="Condition Assessment N/A",VLOOKUP(D45,'10. Condition and Temporal'!$B$6:$L$103,9,FALSE),IF(F45="N/A - Other",VLOOKUP(D45,'10. Condition and Temporal'!$B$6:$L$103,10,FALSE)))))))</f>
      </c>
      <c r="AF45" t="s" s="313">
        <f>IF(AE45="","",VLOOKUP(AE45,'11. Lists'!$I$47:$K$80,3,FALSE))</f>
      </c>
      <c r="AG45" t="s" s="285">
        <f>IF(D45="","",VLOOKUP(D45,'9. All Habitats + Multipliers'!$C$4:$K$102,7,FALSE))</f>
      </c>
      <c r="AH45" t="s" s="313">
        <f>IF(AG45="","",VLOOKUP(AG45,'11. Lists'!$J$35:$K$38,2,FALSE))</f>
      </c>
      <c r="AI45" s="380"/>
      <c r="AJ45" s="161"/>
      <c r="AK45" s="161"/>
      <c r="AL45" s="161"/>
      <c r="AM45" s="161"/>
      <c r="AN45" s="161"/>
      <c r="AO45" s="161"/>
      <c r="AP45" s="161"/>
      <c r="AQ45" s="161"/>
      <c r="AR45" s="161"/>
      <c r="AS45" s="161"/>
      <c r="AT45" s="161"/>
      <c r="AU45" s="161"/>
      <c r="AV45" s="161"/>
      <c r="AW45" s="161"/>
      <c r="AX45" s="161"/>
      <c r="AY45" s="161"/>
      <c r="AZ45" s="161"/>
      <c r="BA45" s="161"/>
      <c r="BB45" s="161"/>
      <c r="BC45" s="161"/>
      <c r="BD45" s="161"/>
      <c r="BE45" s="161"/>
      <c r="BF45" s="161"/>
      <c r="BG45" s="161"/>
      <c r="BH45" s="161"/>
      <c r="BI45" s="161"/>
      <c r="BJ45" s="161"/>
      <c r="BK45" s="161"/>
      <c r="BL45" s="161"/>
      <c r="BM45" s="161"/>
      <c r="BN45" s="161"/>
      <c r="BO45" s="161"/>
      <c r="BP45" s="161"/>
      <c r="BQ45" s="161"/>
      <c r="BR45" s="161"/>
      <c r="BS45" s="161"/>
      <c r="BT45" s="161"/>
      <c r="BU45" s="161"/>
      <c r="BV45" s="161"/>
      <c r="BW45" s="161"/>
      <c r="BX45" s="161"/>
      <c r="BY45" s="161"/>
      <c r="BZ45" s="161"/>
      <c r="CA45" s="161"/>
      <c r="CB45" s="161"/>
      <c r="CC45" s="161"/>
      <c r="CD45" s="161"/>
      <c r="CE45" s="161"/>
      <c r="CF45" s="161"/>
      <c r="CG45" s="161"/>
      <c r="CH45" s="161"/>
      <c r="CI45" s="161"/>
      <c r="CJ45" s="161"/>
      <c r="CK45" s="161"/>
      <c r="CL45" s="161"/>
      <c r="CM45" s="161"/>
      <c r="CN45" s="161"/>
      <c r="CO45" s="161"/>
      <c r="CP45" s="161"/>
      <c r="CQ45" s="161"/>
      <c r="CR45" s="161"/>
      <c r="CS45" s="161"/>
      <c r="CT45" s="161"/>
      <c r="CU45" s="161"/>
      <c r="CV45" s="161"/>
      <c r="CW45" s="161"/>
      <c r="CX45" s="161"/>
      <c r="CY45" s="161"/>
      <c r="CZ45" s="161"/>
      <c r="DA45" s="161"/>
      <c r="DB45" s="161"/>
      <c r="DC45" s="161"/>
      <c r="DD45" s="161"/>
      <c r="DE45" s="161"/>
      <c r="DF45" s="161"/>
      <c r="DG45" s="161"/>
      <c r="DH45" s="161"/>
      <c r="DI45" s="161"/>
      <c r="DJ45" s="161"/>
      <c r="DK45" s="161"/>
      <c r="DL45" s="161"/>
      <c r="DM45" s="161"/>
      <c r="DN45" s="161"/>
      <c r="DO45" s="161"/>
      <c r="DP45" s="161"/>
      <c r="DQ45" s="161"/>
      <c r="DR45" s="161"/>
      <c r="DS45" s="161"/>
      <c r="DT45" s="161"/>
      <c r="DU45" s="161"/>
      <c r="DV45" s="161"/>
      <c r="DW45" s="161"/>
      <c r="DX45" s="161"/>
    </row>
    <row r="46" ht="15.6" customHeight="1">
      <c r="A46" s="379"/>
      <c r="B46" s="296">
        <v>7</v>
      </c>
      <c r="C46" s="415"/>
      <c r="D46" s="315"/>
      <c r="E46" t="s" s="405">
        <f>IF(D46="","",VLOOKUP(D46,'10. Condition and Temporal'!$B$6:$D$103,3,FALSE))</f>
      </c>
      <c r="F46" s="416"/>
      <c r="G46" s="407"/>
      <c r="H46" s="417"/>
      <c r="I46" s="409"/>
      <c r="J46" s="410"/>
      <c r="K46" s="411"/>
      <c r="L46" t="s" s="418">
        <f>IF(C46="","",_xlfn.IFERROR(IF(I46="","",((I46/10000)*(V46*X46))*(AH46*AF46)*AD46),"This intervention is not permitted within the SSM ▲"))</f>
      </c>
      <c r="M46" s="413"/>
      <c r="N46" s="414"/>
      <c r="O46" s="415"/>
      <c r="P46" s="315"/>
      <c r="Q46" s="380"/>
      <c r="R46" s="219"/>
      <c r="S46" s="381"/>
      <c r="T46" t="s" s="285">
        <f>IF(C46="","",VLOOKUP(D46,'9. All Habitats + Multipliers'!$C$4:$K$102,5,FALSE))</f>
      </c>
      <c r="U46" s="286"/>
      <c r="V46" t="s" s="313">
        <f>IF(T46="","",VLOOKUP(T46,'11. Lists'!$B$47:$D$49,2,FALSE))</f>
      </c>
      <c r="W46" t="s" s="285">
        <f>IF(F46="","",F46)</f>
      </c>
      <c r="X46" t="s" s="313">
        <f>IF(W46="","",VLOOKUP(W46,'11. Lists'!$F$47:$G$51,2,FALSE))</f>
      </c>
      <c r="Y46" s="288"/>
      <c r="Z46" s="289"/>
      <c r="AA46" s="290"/>
      <c r="AB46" t="s" s="285">
        <f>IF(H46="","",H46)</f>
      </c>
      <c r="AC46" t="s" s="291">
        <f>IF(AB46="","",VLOOKUP(AB46,'11. Lists'!$F$36:$H$38,2,FALSE))</f>
      </c>
      <c r="AD46" t="s" s="313">
        <f>IF(AB46="","",VLOOKUP(AB46,'11. Lists'!$F$36:$H$38,3,FALSE))</f>
      </c>
      <c r="AE46" t="s" s="285">
        <f>IF(F46="","",IF(F46="Moderate",VLOOKUP(D46,'10. Condition and Temporal'!$B$6:$L$103,6,FALSE),IF(F46="Good",VLOOKUP(D46,'10. Condition and Temporal'!$B$6:$L$103,7,FALSE),IF(F46="Poor",VLOOKUP(D46,'10. Condition and Temporal'!$B$6:$L$103,8,FALSE),IF(F46="Condition Assessment N/A",VLOOKUP(D46,'10. Condition and Temporal'!$B$6:$L$103,9,FALSE),IF(F46="N/A - Other",VLOOKUP(D46,'10. Condition and Temporal'!$B$6:$L$103,10,FALSE)))))))</f>
      </c>
      <c r="AF46" t="s" s="313">
        <f>IF(AE46="","",VLOOKUP(AE46,'11. Lists'!$I$47:$K$80,3,FALSE))</f>
      </c>
      <c r="AG46" t="s" s="285">
        <f>IF(D46="","",VLOOKUP(D46,'9. All Habitats + Multipliers'!$C$4:$K$102,7,FALSE))</f>
      </c>
      <c r="AH46" t="s" s="313">
        <f>IF(AG46="","",VLOOKUP(AG46,'11. Lists'!$J$35:$K$38,2,FALSE))</f>
      </c>
      <c r="AI46" s="380"/>
      <c r="AJ46" s="161"/>
      <c r="AK46" s="161"/>
      <c r="AL46" s="161"/>
      <c r="AM46" s="161"/>
      <c r="AN46" s="161"/>
      <c r="AO46" s="161"/>
      <c r="AP46" s="161"/>
      <c r="AQ46" s="161"/>
      <c r="AR46" s="161"/>
      <c r="AS46" s="161"/>
      <c r="AT46" s="161"/>
      <c r="AU46" s="161"/>
      <c r="AV46" s="161"/>
      <c r="AW46" s="161"/>
      <c r="AX46" s="161"/>
      <c r="AY46" s="161"/>
      <c r="AZ46" s="161"/>
      <c r="BA46" s="161"/>
      <c r="BB46" s="161"/>
      <c r="BC46" s="161"/>
      <c r="BD46" s="161"/>
      <c r="BE46" s="161"/>
      <c r="BF46" s="161"/>
      <c r="BG46" s="161"/>
      <c r="BH46" s="161"/>
      <c r="BI46" s="161"/>
      <c r="BJ46" s="161"/>
      <c r="BK46" s="161"/>
      <c r="BL46" s="161"/>
      <c r="BM46" s="161"/>
      <c r="BN46" s="161"/>
      <c r="BO46" s="161"/>
      <c r="BP46" s="161"/>
      <c r="BQ46" s="161"/>
      <c r="BR46" s="161"/>
      <c r="BS46" s="161"/>
      <c r="BT46" s="161"/>
      <c r="BU46" s="161"/>
      <c r="BV46" s="161"/>
      <c r="BW46" s="161"/>
      <c r="BX46" s="161"/>
      <c r="BY46" s="161"/>
      <c r="BZ46" s="161"/>
      <c r="CA46" s="161"/>
      <c r="CB46" s="161"/>
      <c r="CC46" s="161"/>
      <c r="CD46" s="161"/>
      <c r="CE46" s="161"/>
      <c r="CF46" s="161"/>
      <c r="CG46" s="161"/>
      <c r="CH46" s="161"/>
      <c r="CI46" s="161"/>
      <c r="CJ46" s="161"/>
      <c r="CK46" s="161"/>
      <c r="CL46" s="161"/>
      <c r="CM46" s="161"/>
      <c r="CN46" s="161"/>
      <c r="CO46" s="161"/>
      <c r="CP46" s="161"/>
      <c r="CQ46" s="161"/>
      <c r="CR46" s="161"/>
      <c r="CS46" s="161"/>
      <c r="CT46" s="161"/>
      <c r="CU46" s="161"/>
      <c r="CV46" s="161"/>
      <c r="CW46" s="161"/>
      <c r="CX46" s="161"/>
      <c r="CY46" s="161"/>
      <c r="CZ46" s="161"/>
      <c r="DA46" s="161"/>
      <c r="DB46" s="161"/>
      <c r="DC46" s="161"/>
      <c r="DD46" s="161"/>
      <c r="DE46" s="161"/>
      <c r="DF46" s="161"/>
      <c r="DG46" s="161"/>
      <c r="DH46" s="161"/>
      <c r="DI46" s="161"/>
      <c r="DJ46" s="161"/>
      <c r="DK46" s="161"/>
      <c r="DL46" s="161"/>
      <c r="DM46" s="161"/>
      <c r="DN46" s="161"/>
      <c r="DO46" s="161"/>
      <c r="DP46" s="161"/>
      <c r="DQ46" s="161"/>
      <c r="DR46" s="161"/>
      <c r="DS46" s="161"/>
      <c r="DT46" s="161"/>
      <c r="DU46" s="161"/>
      <c r="DV46" s="161"/>
      <c r="DW46" s="161"/>
      <c r="DX46" s="161"/>
    </row>
    <row r="47" ht="15.6" customHeight="1">
      <c r="A47" s="379"/>
      <c r="B47" s="296">
        <v>8</v>
      </c>
      <c r="C47" s="415"/>
      <c r="D47" s="315"/>
      <c r="E47" t="s" s="405">
        <f>IF(D47="","",VLOOKUP(D47,'10. Condition and Temporal'!$B$6:$D$103,3,FALSE))</f>
      </c>
      <c r="F47" s="416"/>
      <c r="G47" s="407"/>
      <c r="H47" s="417"/>
      <c r="I47" s="409"/>
      <c r="J47" s="410"/>
      <c r="K47" s="411"/>
      <c r="L47" t="s" s="418">
        <f>IF(C47="","",_xlfn.IFERROR(IF(I47="","",((I47/10000)*(V47*X47))*(AH47*AF47)*AD47),"This intervention is not permitted within the SSM ▲"))</f>
      </c>
      <c r="M47" s="413"/>
      <c r="N47" s="414"/>
      <c r="O47" s="415"/>
      <c r="P47" s="315"/>
      <c r="Q47" s="380"/>
      <c r="R47" s="219"/>
      <c r="S47" s="381"/>
      <c r="T47" t="s" s="285">
        <f>IF(C47="","",VLOOKUP(D47,'9. All Habitats + Multipliers'!$C$4:$K$102,5,FALSE))</f>
      </c>
      <c r="U47" s="286"/>
      <c r="V47" t="s" s="313">
        <f>IF(T47="","",VLOOKUP(T47,'11. Lists'!$B$47:$D$49,2,FALSE))</f>
      </c>
      <c r="W47" t="s" s="285">
        <f>IF(F47="","",F47)</f>
      </c>
      <c r="X47" t="s" s="313">
        <f>IF(W47="","",VLOOKUP(W47,'11. Lists'!$F$47:$G$51,2,FALSE))</f>
      </c>
      <c r="Y47" s="288"/>
      <c r="Z47" s="289"/>
      <c r="AA47" s="290"/>
      <c r="AB47" t="s" s="285">
        <f>IF(H47="","",H47)</f>
      </c>
      <c r="AC47" t="s" s="291">
        <f>IF(AB47="","",VLOOKUP(AB47,'11. Lists'!$F$36:$H$38,2,FALSE))</f>
      </c>
      <c r="AD47" t="s" s="313">
        <f>IF(AB47="","",VLOOKUP(AB47,'11. Lists'!$F$36:$H$38,3,FALSE))</f>
      </c>
      <c r="AE47" t="s" s="285">
        <f>IF(F47="","",IF(F47="Moderate",VLOOKUP(D47,'10. Condition and Temporal'!$B$6:$L$103,6,FALSE),IF(F47="Good",VLOOKUP(D47,'10. Condition and Temporal'!$B$6:$L$103,7,FALSE),IF(F47="Poor",VLOOKUP(D47,'10. Condition and Temporal'!$B$6:$L$103,8,FALSE),IF(F47="Condition Assessment N/A",VLOOKUP(D47,'10. Condition and Temporal'!$B$6:$L$103,9,FALSE),IF(F47="N/A - Other",VLOOKUP(D47,'10. Condition and Temporal'!$B$6:$L$103,10,FALSE)))))))</f>
      </c>
      <c r="AF47" t="s" s="313">
        <f>IF(AE47="","",VLOOKUP(AE47,'11. Lists'!$I$47:$K$80,3,FALSE))</f>
      </c>
      <c r="AG47" t="s" s="285">
        <f>IF(D47="","",VLOOKUP(D47,'9. All Habitats + Multipliers'!$C$4:$K$102,7,FALSE))</f>
      </c>
      <c r="AH47" t="s" s="313">
        <f>IF(AG47="","",VLOOKUP(AG47,'11. Lists'!$J$35:$K$38,2,FALSE))</f>
      </c>
      <c r="AI47" s="380"/>
      <c r="AJ47" s="161"/>
      <c r="AK47" s="161"/>
      <c r="AL47" s="161"/>
      <c r="AM47" s="161"/>
      <c r="AN47" s="161"/>
      <c r="AO47" s="161"/>
      <c r="AP47" s="161"/>
      <c r="AQ47" s="161"/>
      <c r="AR47" s="161"/>
      <c r="AS47" s="161"/>
      <c r="AT47" s="161"/>
      <c r="AU47" s="161"/>
      <c r="AV47" s="161"/>
      <c r="AW47" s="161"/>
      <c r="AX47" s="161"/>
      <c r="AY47" s="161"/>
      <c r="AZ47" s="161"/>
      <c r="BA47" s="161"/>
      <c r="BB47" s="161"/>
      <c r="BC47" s="161"/>
      <c r="BD47" s="161"/>
      <c r="BE47" s="161"/>
      <c r="BF47" s="161"/>
      <c r="BG47" s="161"/>
      <c r="BH47" s="161"/>
      <c r="BI47" s="161"/>
      <c r="BJ47" s="161"/>
      <c r="BK47" s="161"/>
      <c r="BL47" s="161"/>
      <c r="BM47" s="161"/>
      <c r="BN47" s="161"/>
      <c r="BO47" s="161"/>
      <c r="BP47" s="161"/>
      <c r="BQ47" s="161"/>
      <c r="BR47" s="161"/>
      <c r="BS47" s="161"/>
      <c r="BT47" s="161"/>
      <c r="BU47" s="161"/>
      <c r="BV47" s="161"/>
      <c r="BW47" s="161"/>
      <c r="BX47" s="161"/>
      <c r="BY47" s="161"/>
      <c r="BZ47" s="161"/>
      <c r="CA47" s="161"/>
      <c r="CB47" s="161"/>
      <c r="CC47" s="161"/>
      <c r="CD47" s="161"/>
      <c r="CE47" s="161"/>
      <c r="CF47" s="161"/>
      <c r="CG47" s="161"/>
      <c r="CH47" s="161"/>
      <c r="CI47" s="161"/>
      <c r="CJ47" s="161"/>
      <c r="CK47" s="161"/>
      <c r="CL47" s="161"/>
      <c r="CM47" s="161"/>
      <c r="CN47" s="161"/>
      <c r="CO47" s="161"/>
      <c r="CP47" s="161"/>
      <c r="CQ47" s="161"/>
      <c r="CR47" s="161"/>
      <c r="CS47" s="161"/>
      <c r="CT47" s="161"/>
      <c r="CU47" s="161"/>
      <c r="CV47" s="161"/>
      <c r="CW47" s="161"/>
      <c r="CX47" s="161"/>
      <c r="CY47" s="161"/>
      <c r="CZ47" s="161"/>
      <c r="DA47" s="161"/>
      <c r="DB47" s="161"/>
      <c r="DC47" s="161"/>
      <c r="DD47" s="161"/>
      <c r="DE47" s="161"/>
      <c r="DF47" s="161"/>
      <c r="DG47" s="161"/>
      <c r="DH47" s="161"/>
      <c r="DI47" s="161"/>
      <c r="DJ47" s="161"/>
      <c r="DK47" s="161"/>
      <c r="DL47" s="161"/>
      <c r="DM47" s="161"/>
      <c r="DN47" s="161"/>
      <c r="DO47" s="161"/>
      <c r="DP47" s="161"/>
      <c r="DQ47" s="161"/>
      <c r="DR47" s="161"/>
      <c r="DS47" s="161"/>
      <c r="DT47" s="161"/>
      <c r="DU47" s="161"/>
      <c r="DV47" s="161"/>
      <c r="DW47" s="161"/>
      <c r="DX47" s="161"/>
    </row>
    <row r="48" ht="15.6" customHeight="1">
      <c r="A48" s="379"/>
      <c r="B48" s="296">
        <v>9</v>
      </c>
      <c r="C48" s="415"/>
      <c r="D48" s="315"/>
      <c r="E48" t="s" s="405">
        <f>IF(D48="","",VLOOKUP(D48,'10. Condition and Temporal'!$B$6:$D$103,3,FALSE))</f>
      </c>
      <c r="F48" s="416"/>
      <c r="G48" s="407"/>
      <c r="H48" s="417"/>
      <c r="I48" s="409"/>
      <c r="J48" s="410"/>
      <c r="K48" s="411"/>
      <c r="L48" t="s" s="418">
        <f>IF(C48="","",_xlfn.IFERROR(IF(I48="","",((I48/10000)*(V48*X48))*(AH48*AF48)*AD48),"This intervention is not permitted within the SSM ▲"))</f>
      </c>
      <c r="M48" s="413"/>
      <c r="N48" s="414"/>
      <c r="O48" s="415"/>
      <c r="P48" s="315"/>
      <c r="Q48" s="380"/>
      <c r="R48" s="219"/>
      <c r="S48" s="381"/>
      <c r="T48" t="s" s="285">
        <f>IF(C48="","",VLOOKUP(D48,'9. All Habitats + Multipliers'!$C$4:$K$102,5,FALSE))</f>
      </c>
      <c r="U48" s="286"/>
      <c r="V48" t="s" s="313">
        <f>IF(T48="","",VLOOKUP(T48,'11. Lists'!$B$47:$D$49,2,FALSE))</f>
      </c>
      <c r="W48" t="s" s="285">
        <f>IF(F48="","",F48)</f>
      </c>
      <c r="X48" t="s" s="313">
        <f>IF(W48="","",VLOOKUP(W48,'11. Lists'!$F$47:$G$51,2,FALSE))</f>
      </c>
      <c r="Y48" s="288"/>
      <c r="Z48" s="289"/>
      <c r="AA48" s="290"/>
      <c r="AB48" t="s" s="285">
        <f>IF(H48="","",H48)</f>
      </c>
      <c r="AC48" t="s" s="291">
        <f>IF(AB48="","",VLOOKUP(AB48,'11. Lists'!$F$36:$H$38,2,FALSE))</f>
      </c>
      <c r="AD48" t="s" s="313">
        <f>IF(AB48="","",VLOOKUP(AB48,'11. Lists'!$F$36:$H$38,3,FALSE))</f>
      </c>
      <c r="AE48" t="s" s="285">
        <f>IF(F48="","",IF(F48="Moderate",VLOOKUP(D48,'10. Condition and Temporal'!$B$6:$L$103,6,FALSE),IF(F48="Good",VLOOKUP(D48,'10. Condition and Temporal'!$B$6:$L$103,7,FALSE),IF(F48="Poor",VLOOKUP(D48,'10. Condition and Temporal'!$B$6:$L$103,8,FALSE),IF(F48="Condition Assessment N/A",VLOOKUP(D48,'10. Condition and Temporal'!$B$6:$L$103,9,FALSE),IF(F48="N/A - Other",VLOOKUP(D48,'10. Condition and Temporal'!$B$6:$L$103,10,FALSE)))))))</f>
      </c>
      <c r="AF48" t="s" s="313">
        <f>IF(AE48="","",VLOOKUP(AE48,'11. Lists'!$I$47:$K$80,3,FALSE))</f>
      </c>
      <c r="AG48" t="s" s="285">
        <f>IF(D48="","",VLOOKUP(D48,'9. All Habitats + Multipliers'!$C$4:$K$102,7,FALSE))</f>
      </c>
      <c r="AH48" t="s" s="313">
        <f>IF(AG48="","",VLOOKUP(AG48,'11. Lists'!$J$35:$K$38,2,FALSE))</f>
      </c>
      <c r="AI48" s="380"/>
      <c r="AJ48" s="161"/>
      <c r="AK48" s="161"/>
      <c r="AL48" s="161"/>
      <c r="AM48" s="161"/>
      <c r="AN48" s="161"/>
      <c r="AO48" s="161"/>
      <c r="AP48" s="161"/>
      <c r="AQ48" s="161"/>
      <c r="AR48" s="161"/>
      <c r="AS48" s="161"/>
      <c r="AT48" s="161"/>
      <c r="AU48" s="161"/>
      <c r="AV48" s="161"/>
      <c r="AW48" s="161"/>
      <c r="AX48" s="161"/>
      <c r="AY48" s="161"/>
      <c r="AZ48" s="161"/>
      <c r="BA48" s="161"/>
      <c r="BB48" s="161"/>
      <c r="BC48" s="161"/>
      <c r="BD48" s="161"/>
      <c r="BE48" s="161"/>
      <c r="BF48" s="161"/>
      <c r="BG48" s="161"/>
      <c r="BH48" s="161"/>
      <c r="BI48" s="161"/>
      <c r="BJ48" s="161"/>
      <c r="BK48" s="161"/>
      <c r="BL48" s="161"/>
      <c r="BM48" s="161"/>
      <c r="BN48" s="161"/>
      <c r="BO48" s="161"/>
      <c r="BP48" s="161"/>
      <c r="BQ48" s="161"/>
      <c r="BR48" s="161"/>
      <c r="BS48" s="161"/>
      <c r="BT48" s="161"/>
      <c r="BU48" s="161"/>
      <c r="BV48" s="161"/>
      <c r="BW48" s="161"/>
      <c r="BX48" s="161"/>
      <c r="BY48" s="161"/>
      <c r="BZ48" s="161"/>
      <c r="CA48" s="161"/>
      <c r="CB48" s="161"/>
      <c r="CC48" s="161"/>
      <c r="CD48" s="161"/>
      <c r="CE48" s="161"/>
      <c r="CF48" s="161"/>
      <c r="CG48" s="161"/>
      <c r="CH48" s="161"/>
      <c r="CI48" s="161"/>
      <c r="CJ48" s="161"/>
      <c r="CK48" s="161"/>
      <c r="CL48" s="161"/>
      <c r="CM48" s="161"/>
      <c r="CN48" s="161"/>
      <c r="CO48" s="161"/>
      <c r="CP48" s="161"/>
      <c r="CQ48" s="161"/>
      <c r="CR48" s="161"/>
      <c r="CS48" s="161"/>
      <c r="CT48" s="161"/>
      <c r="CU48" s="161"/>
      <c r="CV48" s="161"/>
      <c r="CW48" s="161"/>
      <c r="CX48" s="161"/>
      <c r="CY48" s="161"/>
      <c r="CZ48" s="161"/>
      <c r="DA48" s="161"/>
      <c r="DB48" s="161"/>
      <c r="DC48" s="161"/>
      <c r="DD48" s="161"/>
      <c r="DE48" s="161"/>
      <c r="DF48" s="161"/>
      <c r="DG48" s="161"/>
      <c r="DH48" s="161"/>
      <c r="DI48" s="161"/>
      <c r="DJ48" s="161"/>
      <c r="DK48" s="161"/>
      <c r="DL48" s="161"/>
      <c r="DM48" s="161"/>
      <c r="DN48" s="161"/>
      <c r="DO48" s="161"/>
      <c r="DP48" s="161"/>
      <c r="DQ48" s="161"/>
      <c r="DR48" s="161"/>
      <c r="DS48" s="161"/>
      <c r="DT48" s="161"/>
      <c r="DU48" s="161"/>
      <c r="DV48" s="161"/>
      <c r="DW48" s="161"/>
      <c r="DX48" s="161"/>
    </row>
    <row r="49" ht="15.6" customHeight="1">
      <c r="A49" s="379"/>
      <c r="B49" s="296">
        <v>10</v>
      </c>
      <c r="C49" s="415"/>
      <c r="D49" s="315"/>
      <c r="E49" t="s" s="405">
        <f>IF(D49="","",VLOOKUP(D49,'10. Condition and Temporal'!$B$6:$D$103,3,FALSE))</f>
      </c>
      <c r="F49" s="416"/>
      <c r="G49" s="407"/>
      <c r="H49" s="417"/>
      <c r="I49" s="409"/>
      <c r="J49" s="410"/>
      <c r="K49" s="411"/>
      <c r="L49" t="s" s="418">
        <f>IF(C49="","",_xlfn.IFERROR(IF(I49="","",((I49/10000)*(V49*X49))*(AH49*AF49)*AD49),"This intervention is not permitted within the SSM ▲"))</f>
      </c>
      <c r="M49" s="413"/>
      <c r="N49" s="414"/>
      <c r="O49" s="415"/>
      <c r="P49" s="315"/>
      <c r="Q49" s="380"/>
      <c r="R49" s="219"/>
      <c r="S49" s="381"/>
      <c r="T49" t="s" s="285">
        <f>IF(C49="","",VLOOKUP(D49,'9. All Habitats + Multipliers'!$C$4:$K$102,5,FALSE))</f>
      </c>
      <c r="U49" s="286"/>
      <c r="V49" t="s" s="313">
        <f>IF(T49="","",VLOOKUP(T49,'11. Lists'!$B$47:$D$49,2,FALSE))</f>
      </c>
      <c r="W49" t="s" s="285">
        <f>IF(F49="","",F49)</f>
      </c>
      <c r="X49" t="s" s="313">
        <f>IF(W49="","",VLOOKUP(W49,'11. Lists'!$F$47:$G$51,2,FALSE))</f>
      </c>
      <c r="Y49" s="288"/>
      <c r="Z49" s="289"/>
      <c r="AA49" s="290"/>
      <c r="AB49" t="s" s="285">
        <f>IF(H49="","",H49)</f>
      </c>
      <c r="AC49" t="s" s="291">
        <f>IF(AB49="","",VLOOKUP(AB49,'11. Lists'!$F$36:$H$38,2,FALSE))</f>
      </c>
      <c r="AD49" t="s" s="313">
        <f>IF(AB49="","",VLOOKUP(AB49,'11. Lists'!$F$36:$H$38,3,FALSE))</f>
      </c>
      <c r="AE49" t="s" s="285">
        <f>IF(F49="","",IF(F49="Moderate",VLOOKUP(D49,'10. Condition and Temporal'!$B$6:$L$103,6,FALSE),IF(F49="Good",VLOOKUP(D49,'10. Condition and Temporal'!$B$6:$L$103,7,FALSE),IF(F49="Poor",VLOOKUP(D49,'10. Condition and Temporal'!$B$6:$L$103,8,FALSE),IF(F49="Condition Assessment N/A",VLOOKUP(D49,'10. Condition and Temporal'!$B$6:$L$103,9,FALSE),IF(F49="N/A - Other",VLOOKUP(D49,'10. Condition and Temporal'!$B$6:$L$103,10,FALSE)))))))</f>
      </c>
      <c r="AF49" t="s" s="313">
        <f>IF(AE49="","",VLOOKUP(AE49,'11. Lists'!$I$47:$K$80,3,FALSE))</f>
      </c>
      <c r="AG49" t="s" s="285">
        <f>IF(D49="","",VLOOKUP(D49,'9. All Habitats + Multipliers'!$C$4:$K$102,7,FALSE))</f>
      </c>
      <c r="AH49" t="s" s="313">
        <f>IF(AG49="","",VLOOKUP(AG49,'11. Lists'!$J$35:$K$38,2,FALSE))</f>
      </c>
      <c r="AI49" s="380"/>
      <c r="AJ49" s="161"/>
      <c r="AK49" s="161"/>
      <c r="AL49" s="161"/>
      <c r="AM49" s="161"/>
      <c r="AN49" s="161"/>
      <c r="AO49" s="161"/>
      <c r="AP49" s="161"/>
      <c r="AQ49" s="161"/>
      <c r="AR49" s="161"/>
      <c r="AS49" s="161"/>
      <c r="AT49" s="161"/>
      <c r="AU49" s="161"/>
      <c r="AV49" s="161"/>
      <c r="AW49" s="161"/>
      <c r="AX49" s="161"/>
      <c r="AY49" s="161"/>
      <c r="AZ49" s="161"/>
      <c r="BA49" s="161"/>
      <c r="BB49" s="161"/>
      <c r="BC49" s="161"/>
      <c r="BD49" s="161"/>
      <c r="BE49" s="161"/>
      <c r="BF49" s="161"/>
      <c r="BG49" s="161"/>
      <c r="BH49" s="161"/>
      <c r="BI49" s="161"/>
      <c r="BJ49" s="161"/>
      <c r="BK49" s="161"/>
      <c r="BL49" s="161"/>
      <c r="BM49" s="161"/>
      <c r="BN49" s="161"/>
      <c r="BO49" s="161"/>
      <c r="BP49" s="161"/>
      <c r="BQ49" s="161"/>
      <c r="BR49" s="161"/>
      <c r="BS49" s="161"/>
      <c r="BT49" s="161"/>
      <c r="BU49" s="161"/>
      <c r="BV49" s="161"/>
      <c r="BW49" s="161"/>
      <c r="BX49" s="161"/>
      <c r="BY49" s="161"/>
      <c r="BZ49" s="161"/>
      <c r="CA49" s="161"/>
      <c r="CB49" s="161"/>
      <c r="CC49" s="161"/>
      <c r="CD49" s="161"/>
      <c r="CE49" s="161"/>
      <c r="CF49" s="161"/>
      <c r="CG49" s="161"/>
      <c r="CH49" s="161"/>
      <c r="CI49" s="161"/>
      <c r="CJ49" s="161"/>
      <c r="CK49" s="161"/>
      <c r="CL49" s="161"/>
      <c r="CM49" s="161"/>
      <c r="CN49" s="161"/>
      <c r="CO49" s="161"/>
      <c r="CP49" s="161"/>
      <c r="CQ49" s="161"/>
      <c r="CR49" s="161"/>
      <c r="CS49" s="161"/>
      <c r="CT49" s="161"/>
      <c r="CU49" s="161"/>
      <c r="CV49" s="161"/>
      <c r="CW49" s="161"/>
      <c r="CX49" s="161"/>
      <c r="CY49" s="161"/>
      <c r="CZ49" s="161"/>
      <c r="DA49" s="161"/>
      <c r="DB49" s="161"/>
      <c r="DC49" s="161"/>
      <c r="DD49" s="161"/>
      <c r="DE49" s="161"/>
      <c r="DF49" s="161"/>
      <c r="DG49" s="161"/>
      <c r="DH49" s="161"/>
      <c r="DI49" s="161"/>
      <c r="DJ49" s="161"/>
      <c r="DK49" s="161"/>
      <c r="DL49" s="161"/>
      <c r="DM49" s="161"/>
      <c r="DN49" s="161"/>
      <c r="DO49" s="161"/>
      <c r="DP49" s="161"/>
      <c r="DQ49" s="161"/>
      <c r="DR49" s="161"/>
      <c r="DS49" s="161"/>
      <c r="DT49" s="161"/>
      <c r="DU49" s="161"/>
      <c r="DV49" s="161"/>
      <c r="DW49" s="161"/>
      <c r="DX49" s="161"/>
    </row>
    <row r="50" ht="15.6" customHeight="1">
      <c r="A50" s="379"/>
      <c r="B50" s="296">
        <v>11</v>
      </c>
      <c r="C50" s="415"/>
      <c r="D50" s="315"/>
      <c r="E50" t="s" s="405">
        <f>IF(D50="","",VLOOKUP(D50,'10. Condition and Temporal'!$B$6:$D$103,3,FALSE))</f>
      </c>
      <c r="F50" s="416"/>
      <c r="G50" s="407"/>
      <c r="H50" s="417"/>
      <c r="I50" s="409"/>
      <c r="J50" s="410"/>
      <c r="K50" s="411"/>
      <c r="L50" t="s" s="418">
        <f>IF(C50="","",_xlfn.IFERROR(IF(I50="","",((I50/10000)*(V50*X50))*(AH50*AF50)*AD50),"This intervention is not permitted within the SSM ▲"))</f>
      </c>
      <c r="M50" s="413"/>
      <c r="N50" s="414"/>
      <c r="O50" s="415"/>
      <c r="P50" s="315"/>
      <c r="Q50" s="380"/>
      <c r="R50" s="219"/>
      <c r="S50" s="381"/>
      <c r="T50" t="s" s="285">
        <f>IF(C50="","",VLOOKUP(D50,'9. All Habitats + Multipliers'!$C$4:$K$102,5,FALSE))</f>
      </c>
      <c r="U50" s="286"/>
      <c r="V50" t="s" s="313">
        <f>IF(T50="","",VLOOKUP(T50,'11. Lists'!$B$47:$D$49,2,FALSE))</f>
      </c>
      <c r="W50" t="s" s="285">
        <f>IF(F50="","",F50)</f>
      </c>
      <c r="X50" t="s" s="313">
        <f>IF(W50="","",VLOOKUP(W50,'11. Lists'!$F$47:$G$51,2,FALSE))</f>
      </c>
      <c r="Y50" s="288"/>
      <c r="Z50" s="289"/>
      <c r="AA50" s="290"/>
      <c r="AB50" t="s" s="285">
        <f>IF(H50="","",H50)</f>
      </c>
      <c r="AC50" t="s" s="291">
        <f>IF(AB50="","",VLOOKUP(AB50,'11. Lists'!$F$36:$H$38,2,FALSE))</f>
      </c>
      <c r="AD50" t="s" s="313">
        <f>IF(AB50="","",VLOOKUP(AB50,'11. Lists'!$F$36:$H$38,3,FALSE))</f>
      </c>
      <c r="AE50" t="s" s="285">
        <f>IF(F50="","",IF(F50="Moderate",VLOOKUP(D50,'10. Condition and Temporal'!$B$6:$L$103,6,FALSE),IF(F50="Good",VLOOKUP(D50,'10. Condition and Temporal'!$B$6:$L$103,7,FALSE),IF(F50="Poor",VLOOKUP(D50,'10. Condition and Temporal'!$B$6:$L$103,8,FALSE),IF(F50="Condition Assessment N/A",VLOOKUP(D50,'10. Condition and Temporal'!$B$6:$L$103,9,FALSE),IF(F50="N/A - Other",VLOOKUP(D50,'10. Condition and Temporal'!$B$6:$L$103,10,FALSE)))))))</f>
      </c>
      <c r="AF50" t="s" s="313">
        <f>IF(AE50="","",VLOOKUP(AE50,'11. Lists'!$I$47:$K$80,3,FALSE))</f>
      </c>
      <c r="AG50" t="s" s="285">
        <f>IF(D50="","",VLOOKUP(D50,'9. All Habitats + Multipliers'!$C$4:$K$102,7,FALSE))</f>
      </c>
      <c r="AH50" t="s" s="313">
        <f>IF(AG50="","",VLOOKUP(AG50,'11. Lists'!$J$35:$K$38,2,FALSE))</f>
      </c>
      <c r="AI50" s="380"/>
      <c r="AJ50" s="161"/>
      <c r="AK50" s="161"/>
      <c r="AL50" s="161"/>
      <c r="AM50" s="161"/>
      <c r="AN50" s="161"/>
      <c r="AO50" s="161"/>
      <c r="AP50" s="161"/>
      <c r="AQ50" s="161"/>
      <c r="AR50" s="161"/>
      <c r="AS50" s="161"/>
      <c r="AT50" s="161"/>
      <c r="AU50" s="161"/>
      <c r="AV50" s="161"/>
      <c r="AW50" s="161"/>
      <c r="AX50" s="161"/>
      <c r="AY50" s="161"/>
      <c r="AZ50" s="161"/>
      <c r="BA50" s="161"/>
      <c r="BB50" s="161"/>
      <c r="BC50" s="161"/>
      <c r="BD50" s="161"/>
      <c r="BE50" s="161"/>
      <c r="BF50" s="161"/>
      <c r="BG50" s="161"/>
      <c r="BH50" s="161"/>
      <c r="BI50" s="161"/>
      <c r="BJ50" s="161"/>
      <c r="BK50" s="161"/>
      <c r="BL50" s="161"/>
      <c r="BM50" s="161"/>
      <c r="BN50" s="161"/>
      <c r="BO50" s="161"/>
      <c r="BP50" s="161"/>
      <c r="BQ50" s="161"/>
      <c r="BR50" s="161"/>
      <c r="BS50" s="161"/>
      <c r="BT50" s="161"/>
      <c r="BU50" s="161"/>
      <c r="BV50" s="161"/>
      <c r="BW50" s="161"/>
      <c r="BX50" s="161"/>
      <c r="BY50" s="161"/>
      <c r="BZ50" s="161"/>
      <c r="CA50" s="161"/>
      <c r="CB50" s="161"/>
      <c r="CC50" s="161"/>
      <c r="CD50" s="161"/>
      <c r="CE50" s="161"/>
      <c r="CF50" s="161"/>
      <c r="CG50" s="161"/>
      <c r="CH50" s="161"/>
      <c r="CI50" s="161"/>
      <c r="CJ50" s="161"/>
      <c r="CK50" s="161"/>
      <c r="CL50" s="161"/>
      <c r="CM50" s="161"/>
      <c r="CN50" s="161"/>
      <c r="CO50" s="161"/>
      <c r="CP50" s="161"/>
      <c r="CQ50" s="161"/>
      <c r="CR50" s="161"/>
      <c r="CS50" s="161"/>
      <c r="CT50" s="161"/>
      <c r="CU50" s="161"/>
      <c r="CV50" s="161"/>
      <c r="CW50" s="161"/>
      <c r="CX50" s="161"/>
      <c r="CY50" s="161"/>
      <c r="CZ50" s="161"/>
      <c r="DA50" s="161"/>
      <c r="DB50" s="161"/>
      <c r="DC50" s="161"/>
      <c r="DD50" s="161"/>
      <c r="DE50" s="161"/>
      <c r="DF50" s="161"/>
      <c r="DG50" s="161"/>
      <c r="DH50" s="161"/>
      <c r="DI50" s="161"/>
      <c r="DJ50" s="161"/>
      <c r="DK50" s="161"/>
      <c r="DL50" s="161"/>
      <c r="DM50" s="161"/>
      <c r="DN50" s="161"/>
      <c r="DO50" s="161"/>
      <c r="DP50" s="161"/>
      <c r="DQ50" s="161"/>
      <c r="DR50" s="161"/>
      <c r="DS50" s="161"/>
      <c r="DT50" s="161"/>
      <c r="DU50" s="161"/>
      <c r="DV50" s="161"/>
      <c r="DW50" s="161"/>
      <c r="DX50" s="161"/>
    </row>
    <row r="51" ht="15.6" customHeight="1">
      <c r="A51" s="379"/>
      <c r="B51" s="296">
        <v>12</v>
      </c>
      <c r="C51" s="415"/>
      <c r="D51" s="315"/>
      <c r="E51" t="s" s="405">
        <f>IF(D51="","",VLOOKUP(D51,'10. Condition and Temporal'!$B$6:$D$103,3,FALSE))</f>
      </c>
      <c r="F51" s="416"/>
      <c r="G51" s="407"/>
      <c r="H51" s="417"/>
      <c r="I51" s="409"/>
      <c r="J51" s="410"/>
      <c r="K51" s="411"/>
      <c r="L51" t="s" s="418">
        <f>IF(C51="","",_xlfn.IFERROR(IF(I51="","",((I51/10000)*(V51*X51))*(AH51*AF51)*AD51),"This intervention is not permitted within the SSM ▲"))</f>
      </c>
      <c r="M51" s="413"/>
      <c r="N51" s="414"/>
      <c r="O51" s="415"/>
      <c r="P51" s="315"/>
      <c r="Q51" s="380"/>
      <c r="R51" s="219"/>
      <c r="S51" s="381"/>
      <c r="T51" t="s" s="285">
        <f>IF(C51="","",VLOOKUP(D51,'9. All Habitats + Multipliers'!$C$4:$K$102,5,FALSE))</f>
      </c>
      <c r="U51" s="286"/>
      <c r="V51" t="s" s="313">
        <f>IF(T51="","",VLOOKUP(T51,'11. Lists'!$B$47:$D$49,2,FALSE))</f>
      </c>
      <c r="W51" t="s" s="285">
        <f>IF(F51="","",F51)</f>
      </c>
      <c r="X51" t="s" s="313">
        <f>IF(W51="","",VLOOKUP(W51,'11. Lists'!$F$47:$G$51,2,FALSE))</f>
      </c>
      <c r="Y51" s="288"/>
      <c r="Z51" s="289"/>
      <c r="AA51" s="290"/>
      <c r="AB51" t="s" s="285">
        <f>IF(H51="","",H51)</f>
      </c>
      <c r="AC51" t="s" s="291">
        <f>IF(AB51="","",VLOOKUP(AB51,'11. Lists'!$F$36:$H$38,2,FALSE))</f>
      </c>
      <c r="AD51" t="s" s="313">
        <f>IF(AB51="","",VLOOKUP(AB51,'11. Lists'!$F$36:$H$38,3,FALSE))</f>
      </c>
      <c r="AE51" t="s" s="285">
        <f>IF(F51="","",IF(F51="Moderate",VLOOKUP(D51,'10. Condition and Temporal'!$B$6:$L$103,6,FALSE),IF(F51="Good",VLOOKUP(D51,'10. Condition and Temporal'!$B$6:$L$103,7,FALSE),IF(F51="Poor",VLOOKUP(D51,'10. Condition and Temporal'!$B$6:$L$103,8,FALSE),IF(F51="Condition Assessment N/A",VLOOKUP(D51,'10. Condition and Temporal'!$B$6:$L$103,9,FALSE),IF(F51="N/A - Other",VLOOKUP(D51,'10. Condition and Temporal'!$B$6:$L$103,10,FALSE)))))))</f>
      </c>
      <c r="AF51" t="s" s="313">
        <f>IF(AE51="","",VLOOKUP(AE51,'11. Lists'!$I$47:$K$80,3,FALSE))</f>
      </c>
      <c r="AG51" t="s" s="285">
        <f>IF(D51="","",VLOOKUP(D51,'9. All Habitats + Multipliers'!$C$4:$K$102,7,FALSE))</f>
      </c>
      <c r="AH51" t="s" s="313">
        <f>IF(AG51="","",VLOOKUP(AG51,'11. Lists'!$J$35:$K$38,2,FALSE))</f>
      </c>
      <c r="AI51" s="380"/>
      <c r="AJ51" s="161"/>
      <c r="AK51" s="161"/>
      <c r="AL51" s="161"/>
      <c r="AM51" s="161"/>
      <c r="AN51" s="161"/>
      <c r="AO51" s="161"/>
      <c r="AP51" s="161"/>
      <c r="AQ51" s="161"/>
      <c r="AR51" s="161"/>
      <c r="AS51" s="161"/>
      <c r="AT51" s="161"/>
      <c r="AU51" s="161"/>
      <c r="AV51" s="161"/>
      <c r="AW51" s="161"/>
      <c r="AX51" s="161"/>
      <c r="AY51" s="161"/>
      <c r="AZ51" s="161"/>
      <c r="BA51" s="161"/>
      <c r="BB51" s="161"/>
      <c r="BC51" s="161"/>
      <c r="BD51" s="161"/>
      <c r="BE51" s="161"/>
      <c r="BF51" s="161"/>
      <c r="BG51" s="161"/>
      <c r="BH51" s="161"/>
      <c r="BI51" s="161"/>
      <c r="BJ51" s="161"/>
      <c r="BK51" s="161"/>
      <c r="BL51" s="161"/>
      <c r="BM51" s="161"/>
      <c r="BN51" s="161"/>
      <c r="BO51" s="161"/>
      <c r="BP51" s="161"/>
      <c r="BQ51" s="161"/>
      <c r="BR51" s="161"/>
      <c r="BS51" s="161"/>
      <c r="BT51" s="161"/>
      <c r="BU51" s="161"/>
      <c r="BV51" s="161"/>
      <c r="BW51" s="161"/>
      <c r="BX51" s="161"/>
      <c r="BY51" s="161"/>
      <c r="BZ51" s="161"/>
      <c r="CA51" s="161"/>
      <c r="CB51" s="161"/>
      <c r="CC51" s="161"/>
      <c r="CD51" s="161"/>
      <c r="CE51" s="161"/>
      <c r="CF51" s="161"/>
      <c r="CG51" s="161"/>
      <c r="CH51" s="161"/>
      <c r="CI51" s="161"/>
      <c r="CJ51" s="161"/>
      <c r="CK51" s="161"/>
      <c r="CL51" s="161"/>
      <c r="CM51" s="161"/>
      <c r="CN51" s="161"/>
      <c r="CO51" s="161"/>
      <c r="CP51" s="161"/>
      <c r="CQ51" s="161"/>
      <c r="CR51" s="161"/>
      <c r="CS51" s="161"/>
      <c r="CT51" s="161"/>
      <c r="CU51" s="161"/>
      <c r="CV51" s="161"/>
      <c r="CW51" s="161"/>
      <c r="CX51" s="161"/>
      <c r="CY51" s="161"/>
      <c r="CZ51" s="161"/>
      <c r="DA51" s="161"/>
      <c r="DB51" s="161"/>
      <c r="DC51" s="161"/>
      <c r="DD51" s="161"/>
      <c r="DE51" s="161"/>
      <c r="DF51" s="161"/>
      <c r="DG51" s="161"/>
      <c r="DH51" s="161"/>
      <c r="DI51" s="161"/>
      <c r="DJ51" s="161"/>
      <c r="DK51" s="161"/>
      <c r="DL51" s="161"/>
      <c r="DM51" s="161"/>
      <c r="DN51" s="161"/>
      <c r="DO51" s="161"/>
      <c r="DP51" s="161"/>
      <c r="DQ51" s="161"/>
      <c r="DR51" s="161"/>
      <c r="DS51" s="161"/>
      <c r="DT51" s="161"/>
      <c r="DU51" s="161"/>
      <c r="DV51" s="161"/>
      <c r="DW51" s="161"/>
      <c r="DX51" s="161"/>
    </row>
    <row r="52" ht="15.6" customHeight="1">
      <c r="A52" s="379"/>
      <c r="B52" s="296">
        <v>13</v>
      </c>
      <c r="C52" s="415"/>
      <c r="D52" s="315"/>
      <c r="E52" t="s" s="405">
        <f>IF(D52="","",VLOOKUP(D52,'10. Condition and Temporal'!$B$6:$D$103,3,FALSE))</f>
      </c>
      <c r="F52" s="416"/>
      <c r="G52" s="407"/>
      <c r="H52" s="417"/>
      <c r="I52" s="409"/>
      <c r="J52" s="410"/>
      <c r="K52" s="411"/>
      <c r="L52" t="s" s="418">
        <f>IF(C52="","",_xlfn.IFERROR(IF(I52="","",((I52/10000)*(V52*X52))*(AH52*AF52)*AD52),"This intervention is not permitted within the SSM ▲"))</f>
      </c>
      <c r="M52" s="413"/>
      <c r="N52" s="414"/>
      <c r="O52" s="415"/>
      <c r="P52" s="315"/>
      <c r="Q52" s="380"/>
      <c r="R52" s="219"/>
      <c r="S52" s="381"/>
      <c r="T52" t="s" s="285">
        <f>IF(C52="","",VLOOKUP(D52,'9. All Habitats + Multipliers'!$C$4:$K$102,5,FALSE))</f>
      </c>
      <c r="U52" s="286"/>
      <c r="V52" t="s" s="313">
        <f>IF(T52="","",VLOOKUP(T52,'11. Lists'!$B$47:$D$49,2,FALSE))</f>
      </c>
      <c r="W52" t="s" s="285">
        <f>IF(F52="","",F52)</f>
      </c>
      <c r="X52" t="s" s="313">
        <f>IF(W52="","",VLOOKUP(W52,'11. Lists'!$F$47:$G$51,2,FALSE))</f>
      </c>
      <c r="Y52" s="288"/>
      <c r="Z52" s="289"/>
      <c r="AA52" s="290"/>
      <c r="AB52" t="s" s="285">
        <f>IF(H52="","",H52)</f>
      </c>
      <c r="AC52" t="s" s="291">
        <f>IF(AB52="","",VLOOKUP(AB52,'11. Lists'!$F$36:$H$38,2,FALSE))</f>
      </c>
      <c r="AD52" t="s" s="313">
        <f>IF(AB52="","",VLOOKUP(AB52,'11. Lists'!$F$36:$H$38,3,FALSE))</f>
      </c>
      <c r="AE52" t="s" s="285">
        <f>IF(F52="","",IF(F52="Moderate",VLOOKUP(D52,'10. Condition and Temporal'!$B$6:$L$103,6,FALSE),IF(F52="Good",VLOOKUP(D52,'10. Condition and Temporal'!$B$6:$L$103,7,FALSE),IF(F52="Poor",VLOOKUP(D52,'10. Condition and Temporal'!$B$6:$L$103,8,FALSE),IF(F52="Condition Assessment N/A",VLOOKUP(D52,'10. Condition and Temporal'!$B$6:$L$103,9,FALSE),IF(F52="N/A - Other",VLOOKUP(D52,'10. Condition and Temporal'!$B$6:$L$103,10,FALSE)))))))</f>
      </c>
      <c r="AF52" t="s" s="313">
        <f>IF(AE52="","",VLOOKUP(AE52,'11. Lists'!$I$47:$K$80,3,FALSE))</f>
      </c>
      <c r="AG52" t="s" s="285">
        <f>IF(D52="","",VLOOKUP(D52,'9. All Habitats + Multipliers'!$C$4:$K$102,7,FALSE))</f>
      </c>
      <c r="AH52" t="s" s="313">
        <f>IF(AG52="","",VLOOKUP(AG52,'11. Lists'!$J$35:$K$38,2,FALSE))</f>
      </c>
      <c r="AI52" s="380"/>
      <c r="AJ52" s="161"/>
      <c r="AK52" s="161"/>
      <c r="AL52" s="161"/>
      <c r="AM52" s="161"/>
      <c r="AN52" s="161"/>
      <c r="AO52" s="161"/>
      <c r="AP52" s="161"/>
      <c r="AQ52" s="161"/>
      <c r="AR52" s="161"/>
      <c r="AS52" s="161"/>
      <c r="AT52" s="161"/>
      <c r="AU52" s="161"/>
      <c r="AV52" s="161"/>
      <c r="AW52" s="161"/>
      <c r="AX52" s="161"/>
      <c r="AY52" s="161"/>
      <c r="AZ52" s="161"/>
      <c r="BA52" s="161"/>
      <c r="BB52" s="161"/>
      <c r="BC52" s="161"/>
      <c r="BD52" s="161"/>
      <c r="BE52" s="161"/>
      <c r="BF52" s="161"/>
      <c r="BG52" s="161"/>
      <c r="BH52" s="161"/>
      <c r="BI52" s="161"/>
      <c r="BJ52" s="161"/>
      <c r="BK52" s="161"/>
      <c r="BL52" s="161"/>
      <c r="BM52" s="161"/>
      <c r="BN52" s="161"/>
      <c r="BO52" s="161"/>
      <c r="BP52" s="161"/>
      <c r="BQ52" s="161"/>
      <c r="BR52" s="161"/>
      <c r="BS52" s="161"/>
      <c r="BT52" s="161"/>
      <c r="BU52" s="161"/>
      <c r="BV52" s="161"/>
      <c r="BW52" s="161"/>
      <c r="BX52" s="161"/>
      <c r="BY52" s="161"/>
      <c r="BZ52" s="161"/>
      <c r="CA52" s="161"/>
      <c r="CB52" s="161"/>
      <c r="CC52" s="161"/>
      <c r="CD52" s="161"/>
      <c r="CE52" s="161"/>
      <c r="CF52" s="161"/>
      <c r="CG52" s="161"/>
      <c r="CH52" s="161"/>
      <c r="CI52" s="161"/>
      <c r="CJ52" s="161"/>
      <c r="CK52" s="161"/>
      <c r="CL52" s="161"/>
      <c r="CM52" s="161"/>
      <c r="CN52" s="161"/>
      <c r="CO52" s="161"/>
      <c r="CP52" s="161"/>
      <c r="CQ52" s="161"/>
      <c r="CR52" s="161"/>
      <c r="CS52" s="161"/>
      <c r="CT52" s="161"/>
      <c r="CU52" s="161"/>
      <c r="CV52" s="161"/>
      <c r="CW52" s="161"/>
      <c r="CX52" s="161"/>
      <c r="CY52" s="161"/>
      <c r="CZ52" s="161"/>
      <c r="DA52" s="161"/>
      <c r="DB52" s="161"/>
      <c r="DC52" s="161"/>
      <c r="DD52" s="161"/>
      <c r="DE52" s="161"/>
      <c r="DF52" s="161"/>
      <c r="DG52" s="161"/>
      <c r="DH52" s="161"/>
      <c r="DI52" s="161"/>
      <c r="DJ52" s="161"/>
      <c r="DK52" s="161"/>
      <c r="DL52" s="161"/>
      <c r="DM52" s="161"/>
      <c r="DN52" s="161"/>
      <c r="DO52" s="161"/>
      <c r="DP52" s="161"/>
      <c r="DQ52" s="161"/>
      <c r="DR52" s="161"/>
      <c r="DS52" s="161"/>
      <c r="DT52" s="161"/>
      <c r="DU52" s="161"/>
      <c r="DV52" s="161"/>
      <c r="DW52" s="161"/>
      <c r="DX52" s="161"/>
    </row>
    <row r="53" ht="15.6" customHeight="1">
      <c r="A53" s="379"/>
      <c r="B53" s="296">
        <v>14</v>
      </c>
      <c r="C53" s="415"/>
      <c r="D53" s="315"/>
      <c r="E53" t="s" s="405">
        <f>IF(D53="","",VLOOKUP(D53,'10. Condition and Temporal'!$B$6:$D$103,3,FALSE))</f>
      </c>
      <c r="F53" s="416"/>
      <c r="G53" s="407"/>
      <c r="H53" s="417"/>
      <c r="I53" s="409"/>
      <c r="J53" s="410"/>
      <c r="K53" s="411"/>
      <c r="L53" t="s" s="418">
        <f>IF(C53="","",_xlfn.IFERROR(IF(I53="","",((I53/10000)*(V53*X53))*(AH53*AF53)*AD53),"This intervention is not permitted within the SSM ▲"))</f>
      </c>
      <c r="M53" s="413"/>
      <c r="N53" s="414"/>
      <c r="O53" s="415"/>
      <c r="P53" s="315"/>
      <c r="Q53" s="380"/>
      <c r="R53" s="219"/>
      <c r="S53" s="381"/>
      <c r="T53" t="s" s="285">
        <f>IF(C53="","",VLOOKUP(D53,'9. All Habitats + Multipliers'!$C$4:$K$102,5,FALSE))</f>
      </c>
      <c r="U53" s="286"/>
      <c r="V53" t="s" s="313">
        <f>IF(T53="","",VLOOKUP(T53,'11. Lists'!$B$47:$D$49,2,FALSE))</f>
      </c>
      <c r="W53" t="s" s="285">
        <f>IF(F53="","",F53)</f>
      </c>
      <c r="X53" t="s" s="313">
        <f>IF(W53="","",VLOOKUP(W53,'11. Lists'!$F$47:$G$51,2,FALSE))</f>
      </c>
      <c r="Y53" s="288"/>
      <c r="Z53" s="289"/>
      <c r="AA53" s="290"/>
      <c r="AB53" t="s" s="285">
        <f>IF(H53="","",H53)</f>
      </c>
      <c r="AC53" t="s" s="291">
        <f>IF(AB53="","",VLOOKUP(AB53,'11. Lists'!$F$36:$H$38,2,FALSE))</f>
      </c>
      <c r="AD53" t="s" s="313">
        <f>IF(AB53="","",VLOOKUP(AB53,'11. Lists'!$F$36:$H$38,3,FALSE))</f>
      </c>
      <c r="AE53" t="s" s="285">
        <f>IF(F53="","",IF(F53="Moderate",VLOOKUP(D53,'10. Condition and Temporal'!$B$6:$L$103,6,FALSE),IF(F53="Good",VLOOKUP(D53,'10. Condition and Temporal'!$B$6:$L$103,7,FALSE),IF(F53="Poor",VLOOKUP(D53,'10. Condition and Temporal'!$B$6:$L$103,8,FALSE),IF(F53="Condition Assessment N/A",VLOOKUP(D53,'10. Condition and Temporal'!$B$6:$L$103,9,FALSE),IF(F53="N/A - Other",VLOOKUP(D53,'10. Condition and Temporal'!$B$6:$L$103,10,FALSE)))))))</f>
      </c>
      <c r="AF53" t="s" s="313">
        <f>IF(AE53="","",VLOOKUP(AE53,'11. Lists'!$I$47:$K$80,3,FALSE))</f>
      </c>
      <c r="AG53" t="s" s="285">
        <f>IF(D53="","",VLOOKUP(D53,'9. All Habitats + Multipliers'!$C$4:$K$102,7,FALSE))</f>
      </c>
      <c r="AH53" t="s" s="313">
        <f>IF(AG53="","",VLOOKUP(AG53,'11. Lists'!$J$35:$K$38,2,FALSE))</f>
      </c>
      <c r="AI53" s="380"/>
      <c r="AJ53" s="161"/>
      <c r="AK53" s="161"/>
      <c r="AL53" s="161"/>
      <c r="AM53" s="161"/>
      <c r="AN53" s="161"/>
      <c r="AO53" s="161"/>
      <c r="AP53" s="161"/>
      <c r="AQ53" s="161"/>
      <c r="AR53" s="161"/>
      <c r="AS53" s="161"/>
      <c r="AT53" s="161"/>
      <c r="AU53" s="161"/>
      <c r="AV53" s="161"/>
      <c r="AW53" s="161"/>
      <c r="AX53" s="161"/>
      <c r="AY53" s="161"/>
      <c r="AZ53" s="161"/>
      <c r="BA53" s="161"/>
      <c r="BB53" s="161"/>
      <c r="BC53" s="161"/>
      <c r="BD53" s="161"/>
      <c r="BE53" s="161"/>
      <c r="BF53" s="161"/>
      <c r="BG53" s="161"/>
      <c r="BH53" s="161"/>
      <c r="BI53" s="161"/>
      <c r="BJ53" s="161"/>
      <c r="BK53" s="161"/>
      <c r="BL53" s="161"/>
      <c r="BM53" s="161"/>
      <c r="BN53" s="161"/>
      <c r="BO53" s="161"/>
      <c r="BP53" s="161"/>
      <c r="BQ53" s="161"/>
      <c r="BR53" s="161"/>
      <c r="BS53" s="161"/>
      <c r="BT53" s="161"/>
      <c r="BU53" s="161"/>
      <c r="BV53" s="161"/>
      <c r="BW53" s="161"/>
      <c r="BX53" s="161"/>
      <c r="BY53" s="161"/>
      <c r="BZ53" s="161"/>
      <c r="CA53" s="161"/>
      <c r="CB53" s="161"/>
      <c r="CC53" s="161"/>
      <c r="CD53" s="161"/>
      <c r="CE53" s="161"/>
      <c r="CF53" s="161"/>
      <c r="CG53" s="161"/>
      <c r="CH53" s="161"/>
      <c r="CI53" s="161"/>
      <c r="CJ53" s="161"/>
      <c r="CK53" s="161"/>
      <c r="CL53" s="161"/>
      <c r="CM53" s="161"/>
      <c r="CN53" s="161"/>
      <c r="CO53" s="161"/>
      <c r="CP53" s="161"/>
      <c r="CQ53" s="161"/>
      <c r="CR53" s="161"/>
      <c r="CS53" s="161"/>
      <c r="CT53" s="161"/>
      <c r="CU53" s="161"/>
      <c r="CV53" s="161"/>
      <c r="CW53" s="161"/>
      <c r="CX53" s="161"/>
      <c r="CY53" s="161"/>
      <c r="CZ53" s="161"/>
      <c r="DA53" s="161"/>
      <c r="DB53" s="161"/>
      <c r="DC53" s="161"/>
      <c r="DD53" s="161"/>
      <c r="DE53" s="161"/>
      <c r="DF53" s="161"/>
      <c r="DG53" s="161"/>
      <c r="DH53" s="161"/>
      <c r="DI53" s="161"/>
      <c r="DJ53" s="161"/>
      <c r="DK53" s="161"/>
      <c r="DL53" s="161"/>
      <c r="DM53" s="161"/>
      <c r="DN53" s="161"/>
      <c r="DO53" s="161"/>
      <c r="DP53" s="161"/>
      <c r="DQ53" s="161"/>
      <c r="DR53" s="161"/>
      <c r="DS53" s="161"/>
      <c r="DT53" s="161"/>
      <c r="DU53" s="161"/>
      <c r="DV53" s="161"/>
      <c r="DW53" s="161"/>
      <c r="DX53" s="161"/>
    </row>
    <row r="54" ht="15.6" customHeight="1">
      <c r="A54" s="379"/>
      <c r="B54" s="296">
        <v>15</v>
      </c>
      <c r="C54" s="415"/>
      <c r="D54" s="315"/>
      <c r="E54" t="s" s="405">
        <f>IF(D54="","",VLOOKUP(D54,'10. Condition and Temporal'!$B$6:$D$103,3,FALSE))</f>
      </c>
      <c r="F54" s="416"/>
      <c r="G54" s="407"/>
      <c r="H54" s="417"/>
      <c r="I54" s="409"/>
      <c r="J54" s="410"/>
      <c r="K54" s="411"/>
      <c r="L54" t="s" s="418">
        <f>IF(C54="","",_xlfn.IFERROR(IF(I54="","",((I54/10000)*(V54*X54))*(AH54*AF54)*AD54),"This intervention is not permitted within the SSM ▲"))</f>
      </c>
      <c r="M54" s="413"/>
      <c r="N54" s="414"/>
      <c r="O54" s="415"/>
      <c r="P54" s="315"/>
      <c r="Q54" s="380"/>
      <c r="R54" s="219"/>
      <c r="S54" s="381"/>
      <c r="T54" t="s" s="285">
        <f>IF(C54="","",VLOOKUP(D54,'9. All Habitats + Multipliers'!$C$4:$K$102,5,FALSE))</f>
      </c>
      <c r="U54" s="286"/>
      <c r="V54" t="s" s="313">
        <f>IF(T54="","",VLOOKUP(T54,'11. Lists'!$B$47:$D$49,2,FALSE))</f>
      </c>
      <c r="W54" t="s" s="285">
        <f>IF(F54="","",F54)</f>
      </c>
      <c r="X54" t="s" s="313">
        <f>IF(W54="","",VLOOKUP(W54,'11. Lists'!$F$47:$G$51,2,FALSE))</f>
      </c>
      <c r="Y54" s="288"/>
      <c r="Z54" s="289"/>
      <c r="AA54" s="290"/>
      <c r="AB54" t="s" s="285">
        <f>IF(H54="","",H54)</f>
      </c>
      <c r="AC54" t="s" s="291">
        <f>IF(AB54="","",VLOOKUP(AB54,'11. Lists'!$F$36:$H$38,2,FALSE))</f>
      </c>
      <c r="AD54" t="s" s="313">
        <f>IF(AB54="","",VLOOKUP(AB54,'11. Lists'!$F$36:$H$38,3,FALSE))</f>
      </c>
      <c r="AE54" t="s" s="285">
        <f>IF(F54="","",IF(F54="Moderate",VLOOKUP(D54,'10. Condition and Temporal'!$B$6:$L$103,6,FALSE),IF(F54="Good",VLOOKUP(D54,'10. Condition and Temporal'!$B$6:$L$103,7,FALSE),IF(F54="Poor",VLOOKUP(D54,'10. Condition and Temporal'!$B$6:$L$103,8,FALSE),IF(F54="Condition Assessment N/A",VLOOKUP(D54,'10. Condition and Temporal'!$B$6:$L$103,9,FALSE),IF(F54="N/A - Other",VLOOKUP(D54,'10. Condition and Temporal'!$B$6:$L$103,10,FALSE)))))))</f>
      </c>
      <c r="AF54" t="s" s="313">
        <f>IF(AE54="","",VLOOKUP(AE54,'11. Lists'!$I$47:$K$80,3,FALSE))</f>
      </c>
      <c r="AG54" t="s" s="285">
        <f>IF(D54="","",VLOOKUP(D54,'9. All Habitats + Multipliers'!$C$4:$K$102,7,FALSE))</f>
      </c>
      <c r="AH54" t="s" s="313">
        <f>IF(AG54="","",VLOOKUP(AG54,'11. Lists'!$J$35:$K$38,2,FALSE))</f>
      </c>
      <c r="AI54" s="380"/>
      <c r="AJ54" s="161"/>
      <c r="AK54" s="161"/>
      <c r="AL54" s="161"/>
      <c r="AM54" s="161"/>
      <c r="AN54" s="161"/>
      <c r="AO54" s="161"/>
      <c r="AP54" s="161"/>
      <c r="AQ54" s="161"/>
      <c r="AR54" s="161"/>
      <c r="AS54" s="161"/>
      <c r="AT54" s="161"/>
      <c r="AU54" s="161"/>
      <c r="AV54" s="161"/>
      <c r="AW54" s="161"/>
      <c r="AX54" s="161"/>
      <c r="AY54" s="161"/>
      <c r="AZ54" s="161"/>
      <c r="BA54" s="161"/>
      <c r="BB54" s="161"/>
      <c r="BC54" s="161"/>
      <c r="BD54" s="161"/>
      <c r="BE54" s="161"/>
      <c r="BF54" s="161"/>
      <c r="BG54" s="161"/>
      <c r="BH54" s="161"/>
      <c r="BI54" s="161"/>
      <c r="BJ54" s="161"/>
      <c r="BK54" s="161"/>
      <c r="BL54" s="161"/>
      <c r="BM54" s="161"/>
      <c r="BN54" s="161"/>
      <c r="BO54" s="161"/>
      <c r="BP54" s="161"/>
      <c r="BQ54" s="161"/>
      <c r="BR54" s="161"/>
      <c r="BS54" s="161"/>
      <c r="BT54" s="161"/>
      <c r="BU54" s="161"/>
      <c r="BV54" s="161"/>
      <c r="BW54" s="161"/>
      <c r="BX54" s="161"/>
      <c r="BY54" s="161"/>
      <c r="BZ54" s="161"/>
      <c r="CA54" s="161"/>
      <c r="CB54" s="161"/>
      <c r="CC54" s="161"/>
      <c r="CD54" s="161"/>
      <c r="CE54" s="161"/>
      <c r="CF54" s="161"/>
      <c r="CG54" s="161"/>
      <c r="CH54" s="161"/>
      <c r="CI54" s="161"/>
      <c r="CJ54" s="161"/>
      <c r="CK54" s="161"/>
      <c r="CL54" s="161"/>
      <c r="CM54" s="161"/>
      <c r="CN54" s="161"/>
      <c r="CO54" s="161"/>
      <c r="CP54" s="161"/>
      <c r="CQ54" s="161"/>
      <c r="CR54" s="161"/>
      <c r="CS54" s="161"/>
      <c r="CT54" s="161"/>
      <c r="CU54" s="161"/>
      <c r="CV54" s="161"/>
      <c r="CW54" s="161"/>
      <c r="CX54" s="161"/>
      <c r="CY54" s="161"/>
      <c r="CZ54" s="161"/>
      <c r="DA54" s="161"/>
      <c r="DB54" s="161"/>
      <c r="DC54" s="161"/>
      <c r="DD54" s="161"/>
      <c r="DE54" s="161"/>
      <c r="DF54" s="161"/>
      <c r="DG54" s="161"/>
      <c r="DH54" s="161"/>
      <c r="DI54" s="161"/>
      <c r="DJ54" s="161"/>
      <c r="DK54" s="161"/>
      <c r="DL54" s="161"/>
      <c r="DM54" s="161"/>
      <c r="DN54" s="161"/>
      <c r="DO54" s="161"/>
      <c r="DP54" s="161"/>
      <c r="DQ54" s="161"/>
      <c r="DR54" s="161"/>
      <c r="DS54" s="161"/>
      <c r="DT54" s="161"/>
      <c r="DU54" s="161"/>
      <c r="DV54" s="161"/>
      <c r="DW54" s="161"/>
      <c r="DX54" s="161"/>
    </row>
    <row r="55" ht="15.6" customHeight="1">
      <c r="A55" s="379"/>
      <c r="B55" s="296">
        <v>16</v>
      </c>
      <c r="C55" s="415"/>
      <c r="D55" s="315"/>
      <c r="E55" t="s" s="405">
        <f>IF(D55="","",VLOOKUP(D55,'10. Condition and Temporal'!$B$6:$D$103,3,FALSE))</f>
      </c>
      <c r="F55" s="416"/>
      <c r="G55" s="407"/>
      <c r="H55" s="417"/>
      <c r="I55" s="409"/>
      <c r="J55" s="410"/>
      <c r="K55" s="411"/>
      <c r="L55" t="s" s="418">
        <f>IF(C55="","",_xlfn.IFERROR(IF(I55="","",((I55/10000)*(V55*X55))*(AH55*AF55)*AD55),"This intervention is not permitted within the SSM ▲"))</f>
      </c>
      <c r="M55" s="413"/>
      <c r="N55" s="414"/>
      <c r="O55" s="415"/>
      <c r="P55" s="315"/>
      <c r="Q55" s="380"/>
      <c r="R55" s="219"/>
      <c r="S55" s="381"/>
      <c r="T55" t="s" s="285">
        <f>IF(C55="","",VLOOKUP(D55,'9. All Habitats + Multipliers'!$C$4:$K$102,5,FALSE))</f>
      </c>
      <c r="U55" s="286"/>
      <c r="V55" t="s" s="313">
        <f>IF(T55="","",VLOOKUP(T55,'11. Lists'!$B$47:$D$49,2,FALSE))</f>
      </c>
      <c r="W55" t="s" s="285">
        <f>IF(F55="","",F55)</f>
      </c>
      <c r="X55" t="s" s="313">
        <f>IF(W55="","",VLOOKUP(W55,'11. Lists'!$F$47:$G$51,2,FALSE))</f>
      </c>
      <c r="Y55" s="288"/>
      <c r="Z55" s="289"/>
      <c r="AA55" s="290"/>
      <c r="AB55" t="s" s="285">
        <f>IF(H55="","",H55)</f>
      </c>
      <c r="AC55" t="s" s="291">
        <f>IF(AB55="","",VLOOKUP(AB55,'11. Lists'!$F$36:$H$38,2,FALSE))</f>
      </c>
      <c r="AD55" t="s" s="313">
        <f>IF(AB55="","",VLOOKUP(AB55,'11. Lists'!$F$36:$H$38,3,FALSE))</f>
      </c>
      <c r="AE55" t="s" s="285">
        <f>IF(F55="","",IF(F55="Moderate",VLOOKUP(D55,'10. Condition and Temporal'!$B$6:$L$103,6,FALSE),IF(F55="Good",VLOOKUP(D55,'10. Condition and Temporal'!$B$6:$L$103,7,FALSE),IF(F55="Poor",VLOOKUP(D55,'10. Condition and Temporal'!$B$6:$L$103,8,FALSE),IF(F55="Condition Assessment N/A",VLOOKUP(D55,'10. Condition and Temporal'!$B$6:$L$103,9,FALSE),IF(F55="N/A - Other",VLOOKUP(D55,'10. Condition and Temporal'!$B$6:$L$103,10,FALSE)))))))</f>
      </c>
      <c r="AF55" t="s" s="313">
        <f>IF(AE55="","",VLOOKUP(AE55,'11. Lists'!$I$47:$K$80,3,FALSE))</f>
      </c>
      <c r="AG55" t="s" s="285">
        <f>IF(D55="","",VLOOKUP(D55,'9. All Habitats + Multipliers'!$C$4:$K$102,7,FALSE))</f>
      </c>
      <c r="AH55" t="s" s="313">
        <f>IF(AG55="","",VLOOKUP(AG55,'11. Lists'!$J$35:$K$38,2,FALSE))</f>
      </c>
      <c r="AI55" s="380"/>
      <c r="AJ55" s="161"/>
      <c r="AK55" s="161"/>
      <c r="AL55" s="161"/>
      <c r="AM55" s="161"/>
      <c r="AN55" s="161"/>
      <c r="AO55" s="161"/>
      <c r="AP55" s="161"/>
      <c r="AQ55" s="161"/>
      <c r="AR55" s="161"/>
      <c r="AS55" s="161"/>
      <c r="AT55" s="161"/>
      <c r="AU55" s="161"/>
      <c r="AV55" s="161"/>
      <c r="AW55" s="161"/>
      <c r="AX55" s="161"/>
      <c r="AY55" s="161"/>
      <c r="AZ55" s="161"/>
      <c r="BA55" s="161"/>
      <c r="BB55" s="161"/>
      <c r="BC55" s="161"/>
      <c r="BD55" s="161"/>
      <c r="BE55" s="161"/>
      <c r="BF55" s="161"/>
      <c r="BG55" s="161"/>
      <c r="BH55" s="161"/>
      <c r="BI55" s="161"/>
      <c r="BJ55" s="161"/>
      <c r="BK55" s="161"/>
      <c r="BL55" s="161"/>
      <c r="BM55" s="161"/>
      <c r="BN55" s="161"/>
      <c r="BO55" s="161"/>
      <c r="BP55" s="161"/>
      <c r="BQ55" s="161"/>
      <c r="BR55" s="161"/>
      <c r="BS55" s="161"/>
      <c r="BT55" s="161"/>
      <c r="BU55" s="161"/>
      <c r="BV55" s="161"/>
      <c r="BW55" s="161"/>
      <c r="BX55" s="161"/>
      <c r="BY55" s="161"/>
      <c r="BZ55" s="161"/>
      <c r="CA55" s="161"/>
      <c r="CB55" s="161"/>
      <c r="CC55" s="161"/>
      <c r="CD55" s="161"/>
      <c r="CE55" s="161"/>
      <c r="CF55" s="161"/>
      <c r="CG55" s="161"/>
      <c r="CH55" s="161"/>
      <c r="CI55" s="161"/>
      <c r="CJ55" s="161"/>
      <c r="CK55" s="161"/>
      <c r="CL55" s="161"/>
      <c r="CM55" s="161"/>
      <c r="CN55" s="161"/>
      <c r="CO55" s="161"/>
      <c r="CP55" s="161"/>
      <c r="CQ55" s="161"/>
      <c r="CR55" s="161"/>
      <c r="CS55" s="161"/>
      <c r="CT55" s="161"/>
      <c r="CU55" s="161"/>
      <c r="CV55" s="161"/>
      <c r="CW55" s="161"/>
      <c r="CX55" s="161"/>
      <c r="CY55" s="161"/>
      <c r="CZ55" s="161"/>
      <c r="DA55" s="161"/>
      <c r="DB55" s="161"/>
      <c r="DC55" s="161"/>
      <c r="DD55" s="161"/>
      <c r="DE55" s="161"/>
      <c r="DF55" s="161"/>
      <c r="DG55" s="161"/>
      <c r="DH55" s="161"/>
      <c r="DI55" s="161"/>
      <c r="DJ55" s="161"/>
      <c r="DK55" s="161"/>
      <c r="DL55" s="161"/>
      <c r="DM55" s="161"/>
      <c r="DN55" s="161"/>
      <c r="DO55" s="161"/>
      <c r="DP55" s="161"/>
      <c r="DQ55" s="161"/>
      <c r="DR55" s="161"/>
      <c r="DS55" s="161"/>
      <c r="DT55" s="161"/>
      <c r="DU55" s="161"/>
      <c r="DV55" s="161"/>
      <c r="DW55" s="161"/>
      <c r="DX55" s="161"/>
    </row>
    <row r="56" ht="15.6" customHeight="1">
      <c r="A56" s="379"/>
      <c r="B56" s="296">
        <v>17</v>
      </c>
      <c r="C56" s="415"/>
      <c r="D56" s="315"/>
      <c r="E56" t="s" s="405">
        <f>IF(D56="","",VLOOKUP(D56,'10. Condition and Temporal'!$B$6:$D$103,3,FALSE))</f>
      </c>
      <c r="F56" s="416"/>
      <c r="G56" s="407"/>
      <c r="H56" s="417"/>
      <c r="I56" s="409"/>
      <c r="J56" s="410"/>
      <c r="K56" s="411"/>
      <c r="L56" t="s" s="418">
        <f>IF(C56="","",_xlfn.IFERROR(IF(I56="","",((I56/10000)*(V56*X56))*(AH56*AF56)*AD56),"This intervention is not permitted within the SSM ▲"))</f>
      </c>
      <c r="M56" s="413"/>
      <c r="N56" s="414"/>
      <c r="O56" s="415"/>
      <c r="P56" s="315"/>
      <c r="Q56" s="380"/>
      <c r="R56" s="219"/>
      <c r="S56" s="381"/>
      <c r="T56" t="s" s="285">
        <f>IF(C56="","",VLOOKUP(D56,'9. All Habitats + Multipliers'!$C$4:$K$102,5,FALSE))</f>
      </c>
      <c r="U56" s="286"/>
      <c r="V56" t="s" s="313">
        <f>IF(T56="","",VLOOKUP(T56,'11. Lists'!$B$47:$D$49,2,FALSE))</f>
      </c>
      <c r="W56" t="s" s="285">
        <f>IF(F56="","",F56)</f>
      </c>
      <c r="X56" t="s" s="313">
        <f>IF(W56="","",VLOOKUP(W56,'11. Lists'!$F$47:$G$51,2,FALSE))</f>
      </c>
      <c r="Y56" s="288"/>
      <c r="Z56" s="289"/>
      <c r="AA56" s="290"/>
      <c r="AB56" t="s" s="285">
        <f>IF(H56="","",H56)</f>
      </c>
      <c r="AC56" t="s" s="291">
        <f>IF(AB56="","",VLOOKUP(AB56,'11. Lists'!$F$36:$H$38,2,FALSE))</f>
      </c>
      <c r="AD56" t="s" s="313">
        <f>IF(AB56="","",VLOOKUP(AB56,'11. Lists'!$F$36:$H$38,3,FALSE))</f>
      </c>
      <c r="AE56" t="s" s="285">
        <f>IF(F56="","",IF(F56="Moderate",VLOOKUP(D56,'10. Condition and Temporal'!$B$6:$L$103,6,FALSE),IF(F56="Good",VLOOKUP(D56,'10. Condition and Temporal'!$B$6:$L$103,7,FALSE),IF(F56="Poor",VLOOKUP(D56,'10. Condition and Temporal'!$B$6:$L$103,8,FALSE),IF(F56="Condition Assessment N/A",VLOOKUP(D56,'10. Condition and Temporal'!$B$6:$L$103,9,FALSE),IF(F56="N/A - Other",VLOOKUP(D56,'10. Condition and Temporal'!$B$6:$L$103,10,FALSE)))))))</f>
      </c>
      <c r="AF56" t="s" s="313">
        <f>IF(AE56="","",VLOOKUP(AE56,'11. Lists'!$I$47:$K$80,3,FALSE))</f>
      </c>
      <c r="AG56" t="s" s="285">
        <f>IF(D56="","",VLOOKUP(D56,'9. All Habitats + Multipliers'!$C$4:$K$102,7,FALSE))</f>
      </c>
      <c r="AH56" t="s" s="313">
        <f>IF(AG56="","",VLOOKUP(AG56,'11. Lists'!$J$35:$K$38,2,FALSE))</f>
      </c>
      <c r="AI56" s="380"/>
      <c r="AJ56" s="161"/>
      <c r="AK56" s="161"/>
      <c r="AL56" s="161"/>
      <c r="AM56" s="161"/>
      <c r="AN56" s="161"/>
      <c r="AO56" s="161"/>
      <c r="AP56" s="161"/>
      <c r="AQ56" s="161"/>
      <c r="AR56" s="161"/>
      <c r="AS56" s="161"/>
      <c r="AT56" s="161"/>
      <c r="AU56" s="161"/>
      <c r="AV56" s="161"/>
      <c r="AW56" s="161"/>
      <c r="AX56" s="161"/>
      <c r="AY56" s="161"/>
      <c r="AZ56" s="161"/>
      <c r="BA56" s="161"/>
      <c r="BB56" s="161"/>
      <c r="BC56" s="161"/>
      <c r="BD56" s="161"/>
      <c r="BE56" s="161"/>
      <c r="BF56" s="161"/>
      <c r="BG56" s="161"/>
      <c r="BH56" s="161"/>
      <c r="BI56" s="161"/>
      <c r="BJ56" s="161"/>
      <c r="BK56" s="161"/>
      <c r="BL56" s="161"/>
      <c r="BM56" s="161"/>
      <c r="BN56" s="161"/>
      <c r="BO56" s="161"/>
      <c r="BP56" s="161"/>
      <c r="BQ56" s="161"/>
      <c r="BR56" s="161"/>
      <c r="BS56" s="161"/>
      <c r="BT56" s="161"/>
      <c r="BU56" s="161"/>
      <c r="BV56" s="161"/>
      <c r="BW56" s="161"/>
      <c r="BX56" s="161"/>
      <c r="BY56" s="161"/>
      <c r="BZ56" s="161"/>
      <c r="CA56" s="161"/>
      <c r="CB56" s="161"/>
      <c r="CC56" s="161"/>
      <c r="CD56" s="161"/>
      <c r="CE56" s="161"/>
      <c r="CF56" s="161"/>
      <c r="CG56" s="161"/>
      <c r="CH56" s="161"/>
      <c r="CI56" s="161"/>
      <c r="CJ56" s="161"/>
      <c r="CK56" s="161"/>
      <c r="CL56" s="161"/>
      <c r="CM56" s="161"/>
      <c r="CN56" s="161"/>
      <c r="CO56" s="161"/>
      <c r="CP56" s="161"/>
      <c r="CQ56" s="161"/>
      <c r="CR56" s="161"/>
      <c r="CS56" s="161"/>
      <c r="CT56" s="161"/>
      <c r="CU56" s="161"/>
      <c r="CV56" s="161"/>
      <c r="CW56" s="161"/>
      <c r="CX56" s="161"/>
      <c r="CY56" s="161"/>
      <c r="CZ56" s="161"/>
      <c r="DA56" s="161"/>
      <c r="DB56" s="161"/>
      <c r="DC56" s="161"/>
      <c r="DD56" s="161"/>
      <c r="DE56" s="161"/>
      <c r="DF56" s="161"/>
      <c r="DG56" s="161"/>
      <c r="DH56" s="161"/>
      <c r="DI56" s="161"/>
      <c r="DJ56" s="161"/>
      <c r="DK56" s="161"/>
      <c r="DL56" s="161"/>
      <c r="DM56" s="161"/>
      <c r="DN56" s="161"/>
      <c r="DO56" s="161"/>
      <c r="DP56" s="161"/>
      <c r="DQ56" s="161"/>
      <c r="DR56" s="161"/>
      <c r="DS56" s="161"/>
      <c r="DT56" s="161"/>
      <c r="DU56" s="161"/>
      <c r="DV56" s="161"/>
      <c r="DW56" s="161"/>
      <c r="DX56" s="161"/>
    </row>
    <row r="57" ht="15.6" customHeight="1">
      <c r="A57" s="379"/>
      <c r="B57" s="296">
        <v>18</v>
      </c>
      <c r="C57" s="415"/>
      <c r="D57" s="315"/>
      <c r="E57" t="s" s="405">
        <f>IF(D57="","",VLOOKUP(D57,'10. Condition and Temporal'!$B$6:$D$103,3,FALSE))</f>
      </c>
      <c r="F57" s="416"/>
      <c r="G57" s="407"/>
      <c r="H57" s="417"/>
      <c r="I57" s="409"/>
      <c r="J57" s="410"/>
      <c r="K57" s="411"/>
      <c r="L57" t="s" s="418">
        <f>IF(C57="","",_xlfn.IFERROR(IF(I57="","",((I57/10000)*(V57*X57))*(AH57*AF57)*AD57),"This intervention is not permitted within the SSM ▲"))</f>
      </c>
      <c r="M57" s="413"/>
      <c r="N57" s="414"/>
      <c r="O57" s="415"/>
      <c r="P57" s="315"/>
      <c r="Q57" s="380"/>
      <c r="R57" s="219"/>
      <c r="S57" s="381"/>
      <c r="T57" t="s" s="285">
        <f>IF(C57="","",VLOOKUP(D57,'9. All Habitats + Multipliers'!$C$4:$K$102,5,FALSE))</f>
      </c>
      <c r="U57" s="286"/>
      <c r="V57" t="s" s="313">
        <f>IF(T57="","",VLOOKUP(T57,'11. Lists'!$B$47:$D$49,2,FALSE))</f>
      </c>
      <c r="W57" t="s" s="285">
        <f>IF(F57="","",F57)</f>
      </c>
      <c r="X57" t="s" s="313">
        <f>IF(W57="","",VLOOKUP(W57,'11. Lists'!$F$47:$G$51,2,FALSE))</f>
      </c>
      <c r="Y57" s="288"/>
      <c r="Z57" s="289"/>
      <c r="AA57" s="290"/>
      <c r="AB57" t="s" s="285">
        <f>IF(H57="","",H57)</f>
      </c>
      <c r="AC57" t="s" s="291">
        <f>IF(AB57="","",VLOOKUP(AB57,'11. Lists'!$F$36:$H$38,2,FALSE))</f>
      </c>
      <c r="AD57" t="s" s="313">
        <f>IF(AB57="","",VLOOKUP(AB57,'11. Lists'!$F$36:$H$38,3,FALSE))</f>
      </c>
      <c r="AE57" t="s" s="285">
        <f>IF(F57="","",IF(F57="Moderate",VLOOKUP(D57,'10. Condition and Temporal'!$B$6:$L$103,6,FALSE),IF(F57="Good",VLOOKUP(D57,'10. Condition and Temporal'!$B$6:$L$103,7,FALSE),IF(F57="Poor",VLOOKUP(D57,'10. Condition and Temporal'!$B$6:$L$103,8,FALSE),IF(F57="Condition Assessment N/A",VLOOKUP(D57,'10. Condition and Temporal'!$B$6:$L$103,9,FALSE),IF(F57="N/A - Other",VLOOKUP(D57,'10. Condition and Temporal'!$B$6:$L$103,10,FALSE)))))))</f>
      </c>
      <c r="AF57" t="s" s="313">
        <f>IF(AE57="","",VLOOKUP(AE57,'11. Lists'!$I$47:$K$80,3,FALSE))</f>
      </c>
      <c r="AG57" t="s" s="285">
        <f>IF(D57="","",VLOOKUP(D57,'9. All Habitats + Multipliers'!$C$4:$K$102,7,FALSE))</f>
      </c>
      <c r="AH57" t="s" s="313">
        <f>IF(AG57="","",VLOOKUP(AG57,'11. Lists'!$J$35:$K$38,2,FALSE))</f>
      </c>
      <c r="AI57" s="380"/>
      <c r="AJ57" s="161"/>
      <c r="AK57" s="161"/>
      <c r="AL57" s="161"/>
      <c r="AM57" s="161"/>
      <c r="AN57" s="161"/>
      <c r="AO57" s="161"/>
      <c r="AP57" s="161"/>
      <c r="AQ57" s="161"/>
      <c r="AR57" s="161"/>
      <c r="AS57" s="161"/>
      <c r="AT57" s="161"/>
      <c r="AU57" s="161"/>
      <c r="AV57" s="161"/>
      <c r="AW57" s="161"/>
      <c r="AX57" s="161"/>
      <c r="AY57" s="161"/>
      <c r="AZ57" s="161"/>
      <c r="BA57" s="161"/>
      <c r="BB57" s="161"/>
      <c r="BC57" s="161"/>
      <c r="BD57" s="161"/>
      <c r="BE57" s="161"/>
      <c r="BF57" s="161"/>
      <c r="BG57" s="161"/>
      <c r="BH57" s="161"/>
      <c r="BI57" s="161"/>
      <c r="BJ57" s="161"/>
      <c r="BK57" s="161"/>
      <c r="BL57" s="161"/>
      <c r="BM57" s="161"/>
      <c r="BN57" s="161"/>
      <c r="BO57" s="161"/>
      <c r="BP57" s="161"/>
      <c r="BQ57" s="161"/>
      <c r="BR57" s="161"/>
      <c r="BS57" s="161"/>
      <c r="BT57" s="161"/>
      <c r="BU57" s="161"/>
      <c r="BV57" s="161"/>
      <c r="BW57" s="161"/>
      <c r="BX57" s="161"/>
      <c r="BY57" s="161"/>
      <c r="BZ57" s="161"/>
      <c r="CA57" s="161"/>
      <c r="CB57" s="161"/>
      <c r="CC57" s="161"/>
      <c r="CD57" s="161"/>
      <c r="CE57" s="161"/>
      <c r="CF57" s="161"/>
      <c r="CG57" s="161"/>
      <c r="CH57" s="161"/>
      <c r="CI57" s="161"/>
      <c r="CJ57" s="161"/>
      <c r="CK57" s="161"/>
      <c r="CL57" s="161"/>
      <c r="CM57" s="161"/>
      <c r="CN57" s="161"/>
      <c r="CO57" s="161"/>
      <c r="CP57" s="161"/>
      <c r="CQ57" s="161"/>
      <c r="CR57" s="161"/>
      <c r="CS57" s="161"/>
      <c r="CT57" s="161"/>
      <c r="CU57" s="161"/>
      <c r="CV57" s="161"/>
      <c r="CW57" s="161"/>
      <c r="CX57" s="161"/>
      <c r="CY57" s="161"/>
      <c r="CZ57" s="161"/>
      <c r="DA57" s="161"/>
      <c r="DB57" s="161"/>
      <c r="DC57" s="161"/>
      <c r="DD57" s="161"/>
      <c r="DE57" s="161"/>
      <c r="DF57" s="161"/>
      <c r="DG57" s="161"/>
      <c r="DH57" s="161"/>
      <c r="DI57" s="161"/>
      <c r="DJ57" s="161"/>
      <c r="DK57" s="161"/>
      <c r="DL57" s="161"/>
      <c r="DM57" s="161"/>
      <c r="DN57" s="161"/>
      <c r="DO57" s="161"/>
      <c r="DP57" s="161"/>
      <c r="DQ57" s="161"/>
      <c r="DR57" s="161"/>
      <c r="DS57" s="161"/>
      <c r="DT57" s="161"/>
      <c r="DU57" s="161"/>
      <c r="DV57" s="161"/>
      <c r="DW57" s="161"/>
      <c r="DX57" s="161"/>
    </row>
    <row r="58" ht="15.6" customHeight="1">
      <c r="A58" s="379"/>
      <c r="B58" s="296">
        <v>19</v>
      </c>
      <c r="C58" s="415"/>
      <c r="D58" s="315"/>
      <c r="E58" t="s" s="405">
        <f>IF(D58="","",VLOOKUP(D58,'10. Condition and Temporal'!$B$6:$D$103,3,FALSE))</f>
      </c>
      <c r="F58" s="416"/>
      <c r="G58" s="407"/>
      <c r="H58" s="417"/>
      <c r="I58" s="409"/>
      <c r="J58" s="410"/>
      <c r="K58" s="411"/>
      <c r="L58" t="s" s="418">
        <f>IF(C58="","",_xlfn.IFERROR(IF(I58="","",((I58/10000)*(V58*X58))*(AH58*AF58)*AD58),"This intervention is not permitted within the SSM ▲"))</f>
      </c>
      <c r="M58" s="413"/>
      <c r="N58" s="414"/>
      <c r="O58" s="415"/>
      <c r="P58" s="315"/>
      <c r="Q58" s="380"/>
      <c r="R58" s="219"/>
      <c r="S58" s="381"/>
      <c r="T58" t="s" s="285">
        <f>IF(C58="","",VLOOKUP(D58,'9. All Habitats + Multipliers'!$C$4:$K$102,5,FALSE))</f>
      </c>
      <c r="U58" s="286"/>
      <c r="V58" t="s" s="313">
        <f>IF(T58="","",VLOOKUP(T58,'11. Lists'!$B$47:$D$49,2,FALSE))</f>
      </c>
      <c r="W58" t="s" s="285">
        <f>IF(F58="","",F58)</f>
      </c>
      <c r="X58" t="s" s="313">
        <f>IF(W58="","",VLOOKUP(W58,'11. Lists'!$F$47:$G$51,2,FALSE))</f>
      </c>
      <c r="Y58" s="288"/>
      <c r="Z58" s="289"/>
      <c r="AA58" s="290"/>
      <c r="AB58" t="s" s="285">
        <f>IF(H58="","",H58)</f>
      </c>
      <c r="AC58" t="s" s="291">
        <f>IF(AB58="","",VLOOKUP(AB58,'11. Lists'!$F$36:$H$38,2,FALSE))</f>
      </c>
      <c r="AD58" t="s" s="313">
        <f>IF(AB58="","",VLOOKUP(AB58,'11. Lists'!$F$36:$H$38,3,FALSE))</f>
      </c>
      <c r="AE58" t="s" s="285">
        <f>IF(F58="","",IF(F58="Moderate",VLOOKUP(D58,'10. Condition and Temporal'!$B$6:$L$103,6,FALSE),IF(F58="Good",VLOOKUP(D58,'10. Condition and Temporal'!$B$6:$L$103,7,FALSE),IF(F58="Poor",VLOOKUP(D58,'10. Condition and Temporal'!$B$6:$L$103,8,FALSE),IF(F58="Condition Assessment N/A",VLOOKUP(D58,'10. Condition and Temporal'!$B$6:$L$103,9,FALSE),IF(F58="N/A - Other",VLOOKUP(D58,'10. Condition and Temporal'!$B$6:$L$103,10,FALSE)))))))</f>
      </c>
      <c r="AF58" t="s" s="313">
        <f>IF(AE58="","",VLOOKUP(AE58,'11. Lists'!$I$47:$K$80,3,FALSE))</f>
      </c>
      <c r="AG58" t="s" s="285">
        <f>IF(D58="","",VLOOKUP(D58,'9. All Habitats + Multipliers'!$C$4:$K$102,7,FALSE))</f>
      </c>
      <c r="AH58" t="s" s="313">
        <f>IF(AG58="","",VLOOKUP(AG58,'11. Lists'!$J$35:$K$38,2,FALSE))</f>
      </c>
      <c r="AI58" s="380"/>
      <c r="AJ58" s="161"/>
      <c r="AK58" s="161"/>
      <c r="AL58" s="161"/>
      <c r="AM58" s="161"/>
      <c r="AN58" s="161"/>
      <c r="AO58" s="161"/>
      <c r="AP58" s="161"/>
      <c r="AQ58" s="161"/>
      <c r="AR58" s="161"/>
      <c r="AS58" s="161"/>
      <c r="AT58" s="161"/>
      <c r="AU58" s="161"/>
      <c r="AV58" s="161"/>
      <c r="AW58" s="161"/>
      <c r="AX58" s="161"/>
      <c r="AY58" s="161"/>
      <c r="AZ58" s="161"/>
      <c r="BA58" s="161"/>
      <c r="BB58" s="161"/>
      <c r="BC58" s="161"/>
      <c r="BD58" s="161"/>
      <c r="BE58" s="161"/>
      <c r="BF58" s="161"/>
      <c r="BG58" s="161"/>
      <c r="BH58" s="161"/>
      <c r="BI58" s="161"/>
      <c r="BJ58" s="161"/>
      <c r="BK58" s="161"/>
      <c r="BL58" s="161"/>
      <c r="BM58" s="161"/>
      <c r="BN58" s="161"/>
      <c r="BO58" s="161"/>
      <c r="BP58" s="161"/>
      <c r="BQ58" s="161"/>
      <c r="BR58" s="161"/>
      <c r="BS58" s="161"/>
      <c r="BT58" s="161"/>
      <c r="BU58" s="161"/>
      <c r="BV58" s="161"/>
      <c r="BW58" s="161"/>
      <c r="BX58" s="161"/>
      <c r="BY58" s="161"/>
      <c r="BZ58" s="161"/>
      <c r="CA58" s="161"/>
      <c r="CB58" s="161"/>
      <c r="CC58" s="161"/>
      <c r="CD58" s="161"/>
      <c r="CE58" s="161"/>
      <c r="CF58" s="161"/>
      <c r="CG58" s="161"/>
      <c r="CH58" s="161"/>
      <c r="CI58" s="161"/>
      <c r="CJ58" s="161"/>
      <c r="CK58" s="161"/>
      <c r="CL58" s="161"/>
      <c r="CM58" s="161"/>
      <c r="CN58" s="161"/>
      <c r="CO58" s="161"/>
      <c r="CP58" s="161"/>
      <c r="CQ58" s="161"/>
      <c r="CR58" s="161"/>
      <c r="CS58" s="161"/>
      <c r="CT58" s="161"/>
      <c r="CU58" s="161"/>
      <c r="CV58" s="161"/>
      <c r="CW58" s="161"/>
      <c r="CX58" s="161"/>
      <c r="CY58" s="161"/>
      <c r="CZ58" s="161"/>
      <c r="DA58" s="161"/>
      <c r="DB58" s="161"/>
      <c r="DC58" s="161"/>
      <c r="DD58" s="161"/>
      <c r="DE58" s="161"/>
      <c r="DF58" s="161"/>
      <c r="DG58" s="161"/>
      <c r="DH58" s="161"/>
      <c r="DI58" s="161"/>
      <c r="DJ58" s="161"/>
      <c r="DK58" s="161"/>
      <c r="DL58" s="161"/>
      <c r="DM58" s="161"/>
      <c r="DN58" s="161"/>
      <c r="DO58" s="161"/>
      <c r="DP58" s="161"/>
      <c r="DQ58" s="161"/>
      <c r="DR58" s="161"/>
      <c r="DS58" s="161"/>
      <c r="DT58" s="161"/>
      <c r="DU58" s="161"/>
      <c r="DV58" s="161"/>
      <c r="DW58" s="161"/>
      <c r="DX58" s="161"/>
    </row>
    <row r="59" ht="15.95" customHeight="1">
      <c r="A59" s="379"/>
      <c r="B59" s="419">
        <v>20</v>
      </c>
      <c r="C59" s="337"/>
      <c r="D59" s="338"/>
      <c r="E59" t="s" s="420">
        <f>IF(D59="","",VLOOKUP(D59,'10. Condition and Temporal'!$B$6:$D$103,3,FALSE))</f>
      </c>
      <c r="F59" s="421"/>
      <c r="G59" s="422"/>
      <c r="H59" s="423"/>
      <c r="I59" s="424"/>
      <c r="J59" s="425"/>
      <c r="K59" s="426"/>
      <c r="L59" t="s" s="427">
        <f>IF(C59="","",_xlfn.IFERROR(IF(I59="","",((I59/10000)*(V59*X59))*(AH59*AF59)*AD59),"This intervention is not permitted within the SSM ▲"))</f>
      </c>
      <c r="M59" s="428"/>
      <c r="N59" s="429"/>
      <c r="O59" s="337"/>
      <c r="P59" s="338"/>
      <c r="Q59" s="380"/>
      <c r="R59" s="219"/>
      <c r="S59" s="381"/>
      <c r="T59" t="s" s="285">
        <f>IF(C59="","",VLOOKUP(D59,'9. All Habitats + Multipliers'!$C$4:$K$102,5,FALSE))</f>
      </c>
      <c r="U59" s="286"/>
      <c r="V59" t="s" s="313">
        <f>IF(T59="","",VLOOKUP(T59,'11. Lists'!$B$47:$D$49,2,FALSE))</f>
      </c>
      <c r="W59" t="s" s="285">
        <f>IF(F59="","",F59)</f>
      </c>
      <c r="X59" t="s" s="313">
        <f>IF(W59="","",VLOOKUP(W59,'11. Lists'!$F$47:$G$51,2,FALSE))</f>
      </c>
      <c r="Y59" s="288"/>
      <c r="Z59" s="289"/>
      <c r="AA59" s="290"/>
      <c r="AB59" t="s" s="285">
        <f>IF(H59="","",H59)</f>
      </c>
      <c r="AC59" t="s" s="291">
        <f>IF(AB59="","",VLOOKUP(AB59,'11. Lists'!$F$36:$H$38,2,FALSE))</f>
      </c>
      <c r="AD59" t="s" s="313">
        <f>IF(AB59="","",VLOOKUP(AB59,'11. Lists'!$F$36:$H$38,3,FALSE))</f>
      </c>
      <c r="AE59" t="s" s="285">
        <f>IF(F59="","",IF(F59="Moderate",VLOOKUP(D59,'10. Condition and Temporal'!$B$6:$L$103,6,FALSE),IF(F59="Good",VLOOKUP(D59,'10. Condition and Temporal'!$B$6:$L$103,7,FALSE),IF(F59="Poor",VLOOKUP(D59,'10. Condition and Temporal'!$B$6:$L$103,8,FALSE),IF(F59="Condition Assessment N/A",VLOOKUP(D59,'10. Condition and Temporal'!$B$6:$L$103,9,FALSE),IF(F59="N/A - Other",VLOOKUP(D59,'10. Condition and Temporal'!$B$6:$L$103,10,FALSE)))))))</f>
      </c>
      <c r="AF59" t="s" s="313">
        <f>IF(AE59="","",VLOOKUP(AE59,'11. Lists'!$I$47:$K$80,3,FALSE))</f>
      </c>
      <c r="AG59" t="s" s="285">
        <f>IF(D59="","",VLOOKUP(D59,'9. All Habitats + Multipliers'!$C$4:$K$102,7,FALSE))</f>
      </c>
      <c r="AH59" t="s" s="313">
        <f>IF(AG59="","",VLOOKUP(AG59,'11. Lists'!$J$35:$K$38,2,FALSE))</f>
      </c>
      <c r="AI59" s="380"/>
      <c r="AJ59" s="161"/>
      <c r="AK59" s="161"/>
      <c r="AL59" s="161"/>
      <c r="AM59" s="161"/>
      <c r="AN59" s="161"/>
      <c r="AO59" s="161"/>
      <c r="AP59" s="161"/>
      <c r="AQ59" s="161"/>
      <c r="AR59" s="161"/>
      <c r="AS59" s="161"/>
      <c r="AT59" s="161"/>
      <c r="AU59" s="161"/>
      <c r="AV59" s="161"/>
      <c r="AW59" s="161"/>
      <c r="AX59" s="161"/>
      <c r="AY59" s="161"/>
      <c r="AZ59" s="161"/>
      <c r="BA59" s="161"/>
      <c r="BB59" s="161"/>
      <c r="BC59" s="161"/>
      <c r="BD59" s="161"/>
      <c r="BE59" s="161"/>
      <c r="BF59" s="161"/>
      <c r="BG59" s="161"/>
      <c r="BH59" s="161"/>
      <c r="BI59" s="161"/>
      <c r="BJ59" s="161"/>
      <c r="BK59" s="161"/>
      <c r="BL59" s="161"/>
      <c r="BM59" s="161"/>
      <c r="BN59" s="161"/>
      <c r="BO59" s="161"/>
      <c r="BP59" s="161"/>
      <c r="BQ59" s="161"/>
      <c r="BR59" s="161"/>
      <c r="BS59" s="161"/>
      <c r="BT59" s="161"/>
      <c r="BU59" s="161"/>
      <c r="BV59" s="161"/>
      <c r="BW59" s="161"/>
      <c r="BX59" s="161"/>
      <c r="BY59" s="161"/>
      <c r="BZ59" s="161"/>
      <c r="CA59" s="161"/>
      <c r="CB59" s="161"/>
      <c r="CC59" s="161"/>
      <c r="CD59" s="161"/>
      <c r="CE59" s="161"/>
      <c r="CF59" s="161"/>
      <c r="CG59" s="161"/>
      <c r="CH59" s="161"/>
      <c r="CI59" s="161"/>
      <c r="CJ59" s="161"/>
      <c r="CK59" s="161"/>
      <c r="CL59" s="161"/>
      <c r="CM59" s="161"/>
      <c r="CN59" s="161"/>
      <c r="CO59" s="161"/>
      <c r="CP59" s="161"/>
      <c r="CQ59" s="161"/>
      <c r="CR59" s="161"/>
      <c r="CS59" s="161"/>
      <c r="CT59" s="161"/>
      <c r="CU59" s="161"/>
      <c r="CV59" s="161"/>
      <c r="CW59" s="161"/>
      <c r="CX59" s="161"/>
      <c r="CY59" s="161"/>
      <c r="CZ59" s="161"/>
      <c r="DA59" s="161"/>
      <c r="DB59" s="161"/>
      <c r="DC59" s="161"/>
      <c r="DD59" s="161"/>
      <c r="DE59" s="161"/>
      <c r="DF59" s="161"/>
      <c r="DG59" s="161"/>
      <c r="DH59" s="161"/>
      <c r="DI59" s="161"/>
      <c r="DJ59" s="161"/>
      <c r="DK59" s="161"/>
      <c r="DL59" s="161"/>
      <c r="DM59" s="161"/>
      <c r="DN59" s="161"/>
      <c r="DO59" s="161"/>
      <c r="DP59" s="161"/>
      <c r="DQ59" s="161"/>
      <c r="DR59" s="161"/>
      <c r="DS59" s="161"/>
      <c r="DT59" s="161"/>
      <c r="DU59" s="161"/>
      <c r="DV59" s="161"/>
      <c r="DW59" s="161"/>
      <c r="DX59" s="161"/>
    </row>
    <row r="60" ht="29.45" customHeight="1">
      <c r="A60" s="379"/>
      <c r="B60" t="s" s="430">
        <v>147</v>
      </c>
      <c r="C60" t="s" s="325">
        <v>148</v>
      </c>
      <c r="D60" t="s" s="431">
        <v>149</v>
      </c>
      <c r="E60" t="s" s="432">
        <v>182</v>
      </c>
      <c r="F60" t="s" s="433">
        <v>182</v>
      </c>
      <c r="G60" s="327"/>
      <c r="H60" t="s" s="434">
        <v>138</v>
      </c>
      <c r="I60" s="435">
        <f>O99</f>
        <v>0</v>
      </c>
      <c r="J60" s="436"/>
      <c r="K60" s="437"/>
      <c r="L60" s="334">
        <f>IF(D60="","",((I60/10000)*(V60*X60))*(AH60*AF60)*AD60)</f>
        <v>0</v>
      </c>
      <c r="M60" s="438"/>
      <c r="N60" s="336"/>
      <c r="O60" s="439"/>
      <c r="P60" s="440"/>
      <c r="Q60" s="380"/>
      <c r="R60" s="219"/>
      <c r="S60" s="381"/>
      <c r="T60" t="s" s="339">
        <f>IF(C60="","",VLOOKUP(D60,'9. All Habitats + Multipliers'!$C$4:$K$102,5,FALSE))</f>
        <v>151</v>
      </c>
      <c r="U60" s="340"/>
      <c r="V60" s="341">
        <f>IF(T60="","",VLOOKUP(T60,'11. Lists'!$B$47:$D$49,2,FALSE))</f>
        <v>4</v>
      </c>
      <c r="W60" t="s" s="339">
        <f>IF(F60="","",F60)</f>
        <v>152</v>
      </c>
      <c r="X60" s="341">
        <f>IF(W60="","",VLOOKUP(W60,'11. Lists'!$F$47:$G$51,2,FALSE))</f>
        <v>2</v>
      </c>
      <c r="Y60" s="288"/>
      <c r="Z60" s="289"/>
      <c r="AA60" s="290"/>
      <c r="AB60" t="s" s="339">
        <f>IF(H60="","",H60)</f>
        <v>141</v>
      </c>
      <c r="AC60" t="s" s="342">
        <f>IF(AB60="","",VLOOKUP(AB60,'11. Lists'!$F$36:$H$38,2,FALSE))</f>
        <v>142</v>
      </c>
      <c r="AD60" s="341">
        <f>IF(AB60="","",VLOOKUP(AB60,'11. Lists'!$F$36:$H$38,3,FALSE))</f>
        <v>1</v>
      </c>
      <c r="AE60" s="441">
        <f>IF(F60="","",IF(F60="Moderate",VLOOKUP(D60,'10. Condition and Temporal'!$B$6:$L$103,6,FALSE),IF(F60="Good",VLOOKUP(D60,'10. Condition and Temporal'!$B$6:$L$103,7,FALSE),VLOOKUP(D60,'10. Condition and Temporal'!$B$6:$L$103,8,FALSE))))</f>
        <v>27</v>
      </c>
      <c r="AF60" s="442">
        <f>IF(AE60="","",VLOOKUP(AE60,'11. Lists'!$I$47:$K$80,3,FALSE))</f>
        <v>0.3821531646</v>
      </c>
      <c r="AG60" t="s" s="339">
        <f>IF(D60="","",VLOOKUP(D60,'9. All Habitats + Multipliers'!$C$4:$K$102,7,FALSE))</f>
        <v>177</v>
      </c>
      <c r="AH60" s="341">
        <f>IF(AG60="","",VLOOKUP(AG60,'11. Lists'!$J$35:$K$38,2,FALSE))</f>
        <v>1</v>
      </c>
      <c r="AI60" s="380"/>
      <c r="AJ60" s="161"/>
      <c r="AK60" s="161"/>
      <c r="AL60" s="161"/>
      <c r="AM60" s="161"/>
      <c r="AN60" s="161"/>
      <c r="AO60" s="161"/>
      <c r="AP60" s="161"/>
      <c r="AQ60" s="161"/>
      <c r="AR60" s="161"/>
      <c r="AS60" s="161"/>
      <c r="AT60" s="161"/>
      <c r="AU60" s="161"/>
      <c r="AV60" s="161"/>
      <c r="AW60" s="161"/>
      <c r="AX60" s="161"/>
      <c r="AY60" s="161"/>
      <c r="AZ60" s="161"/>
      <c r="BA60" s="161"/>
      <c r="BB60" s="161"/>
      <c r="BC60" s="161"/>
      <c r="BD60" s="161"/>
      <c r="BE60" s="161"/>
      <c r="BF60" s="161"/>
      <c r="BG60" s="161"/>
      <c r="BH60" s="161"/>
      <c r="BI60" s="161"/>
      <c r="BJ60" s="161"/>
      <c r="BK60" s="161"/>
      <c r="BL60" s="161"/>
      <c r="BM60" s="161"/>
      <c r="BN60" s="161"/>
      <c r="BO60" s="161"/>
      <c r="BP60" s="161"/>
      <c r="BQ60" s="161"/>
      <c r="BR60" s="161"/>
      <c r="BS60" s="161"/>
      <c r="BT60" s="161"/>
      <c r="BU60" s="161"/>
      <c r="BV60" s="161"/>
      <c r="BW60" s="161"/>
      <c r="BX60" s="161"/>
      <c r="BY60" s="161"/>
      <c r="BZ60" s="161"/>
      <c r="CA60" s="161"/>
      <c r="CB60" s="161"/>
      <c r="CC60" s="161"/>
      <c r="CD60" s="161"/>
      <c r="CE60" s="161"/>
      <c r="CF60" s="161"/>
      <c r="CG60" s="161"/>
      <c r="CH60" s="161"/>
      <c r="CI60" s="161"/>
      <c r="CJ60" s="161"/>
      <c r="CK60" s="161"/>
      <c r="CL60" s="161"/>
      <c r="CM60" s="161"/>
      <c r="CN60" s="161"/>
      <c r="CO60" s="161"/>
      <c r="CP60" s="161"/>
      <c r="CQ60" s="161"/>
      <c r="CR60" s="161"/>
      <c r="CS60" s="161"/>
      <c r="CT60" s="161"/>
      <c r="CU60" s="161"/>
      <c r="CV60" s="161"/>
      <c r="CW60" s="161"/>
      <c r="CX60" s="161"/>
      <c r="CY60" s="161"/>
      <c r="CZ60" s="161"/>
      <c r="DA60" s="161"/>
      <c r="DB60" s="161"/>
      <c r="DC60" s="161"/>
      <c r="DD60" s="161"/>
      <c r="DE60" s="161"/>
      <c r="DF60" s="161"/>
      <c r="DG60" s="161"/>
      <c r="DH60" s="161"/>
      <c r="DI60" s="161"/>
      <c r="DJ60" s="161"/>
      <c r="DK60" s="161"/>
      <c r="DL60" s="161"/>
      <c r="DM60" s="161"/>
      <c r="DN60" s="161"/>
      <c r="DO60" s="161"/>
      <c r="DP60" s="161"/>
      <c r="DQ60" s="161"/>
      <c r="DR60" s="161"/>
      <c r="DS60" s="161"/>
      <c r="DT60" s="161"/>
      <c r="DU60" s="161"/>
      <c r="DV60" s="161"/>
      <c r="DW60" s="161"/>
      <c r="DX60" s="161"/>
    </row>
    <row r="61" ht="15" customHeight="1">
      <c r="A61" s="347"/>
      <c r="B61" s="348"/>
      <c r="C61" s="348"/>
      <c r="D61" s="348"/>
      <c r="E61" s="348"/>
      <c r="F61" s="348"/>
      <c r="G61" s="443"/>
      <c r="H61" t="s" s="444">
        <v>157</v>
      </c>
      <c r="I61" s="445">
        <f>_xlfn.SUMIFS(I40:I59,D40:D59,"&lt;&gt;"&amp;'11. Lists'!Q10,D40:D59,"&lt;&gt;"&amp;'11. Lists'!Q11,D40:D59,"&lt;&gt;"&amp;'11. Lists'!I4,D40:D59,"&lt;&gt;"&amp;'11. Lists'!I2,D40:D59,"&lt;&gt;"&amp;'11. Lists'!I3)</f>
        <v>71.8522</v>
      </c>
      <c r="J61" s="446"/>
      <c r="K61" s="447"/>
      <c r="L61" s="448">
        <f>SUM(L40:N60)</f>
        <v>0.0002375444</v>
      </c>
      <c r="M61" s="449"/>
      <c r="N61" s="450"/>
      <c r="O61" s="355"/>
      <c r="P61" s="348"/>
      <c r="Q61" s="161"/>
      <c r="R61" s="219"/>
      <c r="S61" s="161"/>
      <c r="T61" s="348"/>
      <c r="U61" s="348"/>
      <c r="V61" s="348"/>
      <c r="W61" s="348"/>
      <c r="X61" s="348"/>
      <c r="Y61" s="161"/>
      <c r="Z61" s="161"/>
      <c r="AA61" s="161"/>
      <c r="AB61" s="348"/>
      <c r="AC61" s="348"/>
      <c r="AD61" s="348"/>
      <c r="AE61" s="348"/>
      <c r="AF61" s="348"/>
      <c r="AG61" s="348"/>
      <c r="AH61" s="348"/>
      <c r="AI61" s="161"/>
      <c r="AJ61" s="161"/>
      <c r="AK61" s="161"/>
      <c r="AL61" s="161"/>
      <c r="AM61" s="161"/>
      <c r="AN61" s="161"/>
      <c r="AO61" s="161"/>
      <c r="AP61" s="161"/>
      <c r="AQ61" s="161"/>
      <c r="AR61" s="161"/>
      <c r="AS61" s="161"/>
      <c r="AT61" s="161"/>
      <c r="AU61" s="161"/>
      <c r="AV61" s="161"/>
      <c r="AW61" s="161"/>
      <c r="AX61" s="161"/>
      <c r="AY61" s="161"/>
      <c r="AZ61" s="161"/>
      <c r="BA61" s="161"/>
      <c r="BB61" s="161"/>
      <c r="BC61" s="161"/>
      <c r="BD61" s="161"/>
      <c r="BE61" s="161"/>
      <c r="BF61" s="161"/>
      <c r="BG61" s="161"/>
      <c r="BH61" s="161"/>
      <c r="BI61" s="161"/>
      <c r="BJ61" s="161"/>
      <c r="BK61" s="161"/>
      <c r="BL61" s="161"/>
      <c r="BM61" s="161"/>
      <c r="BN61" s="161"/>
      <c r="BO61" s="161"/>
      <c r="BP61" s="161"/>
      <c r="BQ61" s="161"/>
      <c r="BR61" s="161"/>
      <c r="BS61" s="161"/>
      <c r="BT61" s="161"/>
      <c r="BU61" s="161"/>
      <c r="BV61" s="161"/>
      <c r="BW61" s="161"/>
      <c r="BX61" s="161"/>
      <c r="BY61" s="161"/>
      <c r="BZ61" s="161"/>
      <c r="CA61" s="161"/>
      <c r="CB61" s="161"/>
      <c r="CC61" s="161"/>
      <c r="CD61" s="161"/>
      <c r="CE61" s="161"/>
      <c r="CF61" s="161"/>
      <c r="CG61" s="161"/>
      <c r="CH61" s="161"/>
      <c r="CI61" s="161"/>
      <c r="CJ61" s="161"/>
      <c r="CK61" s="161"/>
      <c r="CL61" s="161"/>
      <c r="CM61" s="161"/>
      <c r="CN61" s="161"/>
      <c r="CO61" s="161"/>
      <c r="CP61" s="161"/>
      <c r="CQ61" s="161"/>
      <c r="CR61" s="161"/>
      <c r="CS61" s="161"/>
      <c r="CT61" s="161"/>
      <c r="CU61" s="161"/>
      <c r="CV61" s="161"/>
      <c r="CW61" s="161"/>
      <c r="CX61" s="161"/>
      <c r="CY61" s="161"/>
      <c r="CZ61" s="161"/>
      <c r="DA61" s="161"/>
      <c r="DB61" s="161"/>
      <c r="DC61" s="161"/>
      <c r="DD61" s="161"/>
      <c r="DE61" s="161"/>
      <c r="DF61" s="161"/>
      <c r="DG61" s="161"/>
      <c r="DH61" s="161"/>
      <c r="DI61" s="161"/>
      <c r="DJ61" s="161"/>
      <c r="DK61" s="161"/>
      <c r="DL61" s="161"/>
      <c r="DM61" s="161"/>
      <c r="DN61" s="161"/>
      <c r="DO61" s="161"/>
      <c r="DP61" s="161"/>
      <c r="DQ61" s="161"/>
      <c r="DR61" s="161"/>
      <c r="DS61" s="161"/>
      <c r="DT61" s="161"/>
      <c r="DU61" s="161"/>
      <c r="DV61" s="161"/>
      <c r="DW61" s="161"/>
      <c r="DX61" s="161"/>
    </row>
    <row r="62" ht="15" customHeight="1">
      <c r="A62" s="347"/>
      <c r="B62" s="161"/>
      <c r="C62" s="161"/>
      <c r="D62" s="161"/>
      <c r="E62" s="161"/>
      <c r="F62" s="161"/>
      <c r="G62" s="381"/>
      <c r="H62" t="s" s="451">
        <v>183</v>
      </c>
      <c r="I62" t="s" s="452">
        <f>IF(M32=0,"Areas Acceptable ✓",IF(OR(I61-M32&lt;=-0.001,(I61-M32&gt;=0.001)),("Error - Area of habitat creation must match area lost ▲"),("Areas Acceptable ✓")))</f>
        <v>159</v>
      </c>
      <c r="J62" s="453"/>
      <c r="K62" s="453"/>
      <c r="L62" s="453"/>
      <c r="M62" s="453"/>
      <c r="N62" s="454"/>
      <c r="O62" s="364">
        <f>_xlfn.IFERROR(FIND("Error",I62),0)</f>
        <v>0</v>
      </c>
      <c r="P62" s="161"/>
      <c r="Q62" s="161"/>
      <c r="R62" s="219"/>
      <c r="S62" s="161"/>
      <c r="T62" s="161"/>
      <c r="U62" s="161"/>
      <c r="V62" s="161"/>
      <c r="W62" s="161"/>
      <c r="X62" s="161"/>
      <c r="Y62" s="161"/>
      <c r="Z62" s="161"/>
      <c r="AA62" s="161"/>
      <c r="AB62" s="161"/>
      <c r="AC62" s="161"/>
      <c r="AD62" s="161"/>
      <c r="AE62" s="161"/>
      <c r="AF62" s="161"/>
      <c r="AG62" s="161"/>
      <c r="AH62" s="161"/>
      <c r="AI62" s="161"/>
      <c r="AJ62" s="161"/>
      <c r="AK62" s="161"/>
      <c r="AL62" s="161"/>
      <c r="AM62" s="161"/>
      <c r="AN62" s="161"/>
      <c r="AO62" s="161"/>
      <c r="AP62" s="161"/>
      <c r="AQ62" s="161"/>
      <c r="AR62" s="161"/>
      <c r="AS62" s="161"/>
      <c r="AT62" s="161"/>
      <c r="AU62" s="161"/>
      <c r="AV62" s="161"/>
      <c r="AW62" s="161"/>
      <c r="AX62" s="161"/>
      <c r="AY62" s="161"/>
      <c r="AZ62" s="161"/>
      <c r="BA62" s="455"/>
      <c r="BB62" s="161"/>
      <c r="BC62" s="161"/>
      <c r="BD62" s="161"/>
      <c r="BE62" s="161"/>
      <c r="BF62" s="161"/>
      <c r="BG62" s="161"/>
      <c r="BH62" s="161"/>
      <c r="BI62" s="161"/>
      <c r="BJ62" s="161"/>
      <c r="BK62" s="161"/>
      <c r="BL62" s="161"/>
      <c r="BM62" s="161"/>
      <c r="BN62" s="161"/>
      <c r="BO62" s="161"/>
      <c r="BP62" s="161"/>
      <c r="BQ62" s="161"/>
      <c r="BR62" s="161"/>
      <c r="BS62" s="161"/>
      <c r="BT62" s="161"/>
      <c r="BU62" s="161"/>
      <c r="BV62" s="161"/>
      <c r="BW62" s="161"/>
      <c r="BX62" s="161"/>
      <c r="BY62" s="161"/>
      <c r="BZ62" s="161"/>
      <c r="CA62" s="161"/>
      <c r="CB62" s="161"/>
      <c r="CC62" s="161"/>
      <c r="CD62" s="161"/>
      <c r="CE62" s="161"/>
      <c r="CF62" s="161"/>
      <c r="CG62" s="161"/>
      <c r="CH62" s="161"/>
      <c r="CI62" s="161"/>
      <c r="CJ62" s="161"/>
      <c r="CK62" s="161"/>
      <c r="CL62" s="161"/>
      <c r="CM62" s="161"/>
      <c r="CN62" s="161"/>
      <c r="CO62" s="161"/>
      <c r="CP62" s="161"/>
      <c r="CQ62" s="161"/>
      <c r="CR62" s="161"/>
      <c r="CS62" s="161"/>
      <c r="CT62" s="161"/>
      <c r="CU62" s="161"/>
      <c r="CV62" s="161"/>
      <c r="CW62" s="161"/>
      <c r="CX62" s="161"/>
      <c r="CY62" s="161"/>
      <c r="CZ62" s="161"/>
      <c r="DA62" s="161"/>
      <c r="DB62" s="161"/>
      <c r="DC62" s="161"/>
      <c r="DD62" s="161"/>
      <c r="DE62" s="161"/>
      <c r="DF62" s="161"/>
      <c r="DG62" s="161"/>
      <c r="DH62" s="161"/>
      <c r="DI62" s="161"/>
      <c r="DJ62" s="161"/>
      <c r="DK62" s="161"/>
      <c r="DL62" s="161"/>
      <c r="DM62" s="161"/>
      <c r="DN62" s="161"/>
      <c r="DO62" s="161"/>
      <c r="DP62" s="161"/>
      <c r="DQ62" s="161"/>
      <c r="DR62" s="161"/>
      <c r="DS62" s="161"/>
      <c r="DT62" s="161"/>
      <c r="DU62" s="161"/>
      <c r="DV62" s="161"/>
      <c r="DW62" s="161"/>
      <c r="DX62" s="161"/>
    </row>
    <row r="63" ht="14.05" customHeight="1">
      <c r="A63" s="347"/>
      <c r="B63" s="161"/>
      <c r="C63" s="161"/>
      <c r="D63" s="161"/>
      <c r="E63" s="161"/>
      <c r="F63" s="161"/>
      <c r="G63" s="161"/>
      <c r="H63" s="348"/>
      <c r="I63" s="456">
        <f>SUM($I$40:$K$60)</f>
        <v>71.8522</v>
      </c>
      <c r="J63" s="348"/>
      <c r="K63" s="348"/>
      <c r="L63" s="348"/>
      <c r="M63" s="348"/>
      <c r="N63" s="348"/>
      <c r="O63" s="161"/>
      <c r="P63" s="161"/>
      <c r="Q63" s="161"/>
      <c r="R63" s="219"/>
      <c r="S63" s="161"/>
      <c r="T63" s="161"/>
      <c r="U63" s="161"/>
      <c r="V63" s="161"/>
      <c r="W63" s="161"/>
      <c r="X63" s="161"/>
      <c r="Y63" s="161"/>
      <c r="Z63" s="161"/>
      <c r="AA63" s="161"/>
      <c r="AB63" s="161"/>
      <c r="AC63" s="161"/>
      <c r="AD63" s="161"/>
      <c r="AE63" s="161"/>
      <c r="AF63" s="161"/>
      <c r="AG63" s="161"/>
      <c r="AH63" s="161"/>
      <c r="AI63" s="161"/>
      <c r="AJ63" s="161"/>
      <c r="AK63" s="161"/>
      <c r="AL63" s="161"/>
      <c r="AM63" s="161"/>
      <c r="AN63" s="161"/>
      <c r="AO63" s="161"/>
      <c r="AP63" s="161"/>
      <c r="AQ63" s="161"/>
      <c r="AR63" s="161"/>
      <c r="AS63" s="161"/>
      <c r="AT63" s="161"/>
      <c r="AU63" s="161"/>
      <c r="AV63" s="161"/>
      <c r="AW63" s="161"/>
      <c r="AX63" s="161"/>
      <c r="AY63" s="161"/>
      <c r="AZ63" s="457"/>
      <c r="BA63" t="s" s="458">
        <v>184</v>
      </c>
      <c r="BB63" s="459"/>
      <c r="BC63" s="161"/>
      <c r="BD63" s="161"/>
      <c r="BE63" s="161"/>
      <c r="BF63" s="161"/>
      <c r="BG63" s="161"/>
      <c r="BH63" s="161"/>
      <c r="BI63" s="161"/>
      <c r="BJ63" s="161"/>
      <c r="BK63" s="161"/>
      <c r="BL63" s="161"/>
      <c r="BM63" s="161"/>
      <c r="BN63" s="161"/>
      <c r="BO63" s="161"/>
      <c r="BP63" s="161"/>
      <c r="BQ63" s="161"/>
      <c r="BR63" s="161"/>
      <c r="BS63" s="161"/>
      <c r="BT63" s="161"/>
      <c r="BU63" s="161"/>
      <c r="BV63" s="161"/>
      <c r="BW63" s="161"/>
      <c r="BX63" s="161"/>
      <c r="BY63" s="161"/>
      <c r="BZ63" s="161"/>
      <c r="CA63" s="161"/>
      <c r="CB63" s="161"/>
      <c r="CC63" s="161"/>
      <c r="CD63" s="161"/>
      <c r="CE63" s="161"/>
      <c r="CF63" s="161"/>
      <c r="CG63" s="161"/>
      <c r="CH63" s="161"/>
      <c r="CI63" s="161"/>
      <c r="CJ63" s="161"/>
      <c r="CK63" s="161"/>
      <c r="CL63" s="161"/>
      <c r="CM63" s="161"/>
      <c r="CN63" s="161"/>
      <c r="CO63" s="161"/>
      <c r="CP63" s="161"/>
      <c r="CQ63" s="161"/>
      <c r="CR63" s="161"/>
      <c r="CS63" s="161"/>
      <c r="CT63" s="161"/>
      <c r="CU63" s="161"/>
      <c r="CV63" s="161"/>
      <c r="CW63" s="161"/>
      <c r="CX63" s="161"/>
      <c r="CY63" s="161"/>
      <c r="CZ63" s="161"/>
      <c r="DA63" s="161"/>
      <c r="DB63" s="161"/>
      <c r="DC63" s="161"/>
      <c r="DD63" s="161"/>
      <c r="DE63" s="161"/>
      <c r="DF63" s="161"/>
      <c r="DG63" s="161"/>
      <c r="DH63" s="161"/>
      <c r="DI63" s="161"/>
      <c r="DJ63" s="161"/>
      <c r="DK63" s="161"/>
      <c r="DL63" s="161"/>
      <c r="DM63" s="161"/>
      <c r="DN63" s="161"/>
      <c r="DO63" s="161"/>
      <c r="DP63" s="161"/>
      <c r="DQ63" s="161"/>
      <c r="DR63" s="161"/>
      <c r="DS63" s="161"/>
      <c r="DT63" s="161"/>
      <c r="DU63" s="161"/>
      <c r="DV63" s="161"/>
      <c r="DW63" s="161"/>
      <c r="DX63" s="161"/>
    </row>
    <row r="64" ht="21" customHeight="1">
      <c r="A64" s="347"/>
      <c r="B64" t="s" s="374">
        <v>185</v>
      </c>
      <c r="C64" s="161"/>
      <c r="D64" s="375"/>
      <c r="E64" s="161"/>
      <c r="F64" s="161"/>
      <c r="G64" s="161"/>
      <c r="H64" s="460"/>
      <c r="I64" s="161"/>
      <c r="J64" s="161"/>
      <c r="K64" s="161"/>
      <c r="L64" s="161"/>
      <c r="M64" s="161"/>
      <c r="N64" s="161"/>
      <c r="O64" s="161"/>
      <c r="P64" s="161"/>
      <c r="Q64" s="161"/>
      <c r="R64" s="219"/>
      <c r="S64" s="161"/>
      <c r="T64" s="161"/>
      <c r="U64" s="161"/>
      <c r="V64" s="161"/>
      <c r="W64" s="161"/>
      <c r="X64" s="161"/>
      <c r="Y64" s="161"/>
      <c r="Z64" s="161"/>
      <c r="AA64" s="161"/>
      <c r="AB64" s="161"/>
      <c r="AC64" s="161"/>
      <c r="AD64" s="161"/>
      <c r="AE64" s="161"/>
      <c r="AF64" s="161"/>
      <c r="AG64" s="161"/>
      <c r="AH64" s="161"/>
      <c r="AI64" s="161"/>
      <c r="AJ64" s="161"/>
      <c r="AK64" s="161"/>
      <c r="AL64" s="161"/>
      <c r="AM64" s="161"/>
      <c r="AN64" s="161"/>
      <c r="AO64" s="161"/>
      <c r="AP64" s="161"/>
      <c r="AQ64" s="161"/>
      <c r="AR64" s="161"/>
      <c r="AS64" s="161"/>
      <c r="AT64" s="161"/>
      <c r="AU64" s="161"/>
      <c r="AV64" s="161"/>
      <c r="AW64" s="161"/>
      <c r="AX64" s="161"/>
      <c r="AY64" s="161"/>
      <c r="AZ64" s="457"/>
      <c r="BA64" t="s" s="458">
        <v>186</v>
      </c>
      <c r="BB64" s="459"/>
      <c r="BC64" s="161"/>
      <c r="BD64" s="161"/>
      <c r="BE64" s="161"/>
      <c r="BF64" s="161"/>
      <c r="BG64" s="161"/>
      <c r="BH64" s="161"/>
      <c r="BI64" s="161"/>
      <c r="BJ64" s="161"/>
      <c r="BK64" s="161"/>
      <c r="BL64" s="161"/>
      <c r="BM64" s="161"/>
      <c r="BN64" s="161"/>
      <c r="BO64" s="161"/>
      <c r="BP64" s="161"/>
      <c r="BQ64" s="161"/>
      <c r="BR64" s="161"/>
      <c r="BS64" s="161"/>
      <c r="BT64" s="161"/>
      <c r="BU64" s="161"/>
      <c r="BV64" s="161"/>
      <c r="BW64" s="161"/>
      <c r="BX64" s="161"/>
      <c r="BY64" s="161"/>
      <c r="BZ64" s="161"/>
      <c r="CA64" s="161"/>
      <c r="CB64" s="161"/>
      <c r="CC64" s="161"/>
      <c r="CD64" s="161"/>
      <c r="CE64" s="161"/>
      <c r="CF64" s="161"/>
      <c r="CG64" s="161"/>
      <c r="CH64" s="161"/>
      <c r="CI64" s="161"/>
      <c r="CJ64" s="161"/>
      <c r="CK64" s="161"/>
      <c r="CL64" s="161"/>
      <c r="CM64" s="161"/>
      <c r="CN64" s="161"/>
      <c r="CO64" s="161"/>
      <c r="CP64" s="161"/>
      <c r="CQ64" s="161"/>
      <c r="CR64" s="161"/>
      <c r="CS64" s="161"/>
      <c r="CT64" s="161"/>
      <c r="CU64" s="161"/>
      <c r="CV64" s="161"/>
      <c r="CW64" s="161"/>
      <c r="CX64" s="161"/>
      <c r="CY64" s="161"/>
      <c r="CZ64" s="161"/>
      <c r="DA64" s="161"/>
      <c r="DB64" s="161"/>
      <c r="DC64" s="161"/>
      <c r="DD64" s="161"/>
      <c r="DE64" s="161"/>
      <c r="DF64" s="161"/>
      <c r="DG64" s="161"/>
      <c r="DH64" s="161"/>
      <c r="DI64" s="161"/>
      <c r="DJ64" s="161"/>
      <c r="DK64" s="161"/>
      <c r="DL64" s="161"/>
      <c r="DM64" s="161"/>
      <c r="DN64" s="161"/>
      <c r="DO64" s="161"/>
      <c r="DP64" s="161"/>
      <c r="DQ64" s="161"/>
      <c r="DR64" s="161"/>
      <c r="DS64" s="161"/>
      <c r="DT64" s="161"/>
      <c r="DU64" s="161"/>
      <c r="DV64" s="161"/>
      <c r="DW64" s="161"/>
      <c r="DX64" s="161"/>
    </row>
    <row r="65" ht="15" customHeight="1">
      <c r="A65" s="241"/>
      <c r="B65" s="378"/>
      <c r="C65" s="378"/>
      <c r="D65" s="378"/>
      <c r="E65" s="378"/>
      <c r="F65" s="378"/>
      <c r="G65" s="378"/>
      <c r="H65" s="378"/>
      <c r="I65" s="378"/>
      <c r="J65" s="378"/>
      <c r="K65" s="378"/>
      <c r="L65" s="378"/>
      <c r="M65" s="378"/>
      <c r="N65" s="378"/>
      <c r="O65" s="378"/>
      <c r="P65" s="378"/>
      <c r="Q65" s="161"/>
      <c r="R65" t="s" s="373">
        <v>99</v>
      </c>
      <c r="S65" s="161"/>
      <c r="T65" s="378"/>
      <c r="U65" s="378"/>
      <c r="V65" s="378"/>
      <c r="W65" s="378"/>
      <c r="X65" s="378"/>
      <c r="Y65" s="378"/>
      <c r="Z65" s="378"/>
      <c r="AA65" s="378"/>
      <c r="AB65" s="378"/>
      <c r="AC65" s="378"/>
      <c r="AD65" s="378"/>
      <c r="AE65" s="378"/>
      <c r="AF65" s="378"/>
      <c r="AG65" s="378"/>
      <c r="AH65" s="378"/>
      <c r="AI65" s="378"/>
      <c r="AJ65" s="378"/>
      <c r="AK65" s="378"/>
      <c r="AL65" s="378"/>
      <c r="AM65" s="378"/>
      <c r="AN65" s="378"/>
      <c r="AO65" s="378"/>
      <c r="AP65" s="378"/>
      <c r="AQ65" s="378"/>
      <c r="AR65" s="378"/>
      <c r="AS65" s="378"/>
      <c r="AT65" s="378"/>
      <c r="AU65" s="378"/>
      <c r="AV65" s="378"/>
      <c r="AW65" s="378"/>
      <c r="AX65" s="378"/>
      <c r="AY65" s="378"/>
      <c r="AZ65" s="161"/>
      <c r="BA65" s="461"/>
      <c r="BB65" s="378"/>
      <c r="BC65" s="378"/>
      <c r="BD65" s="378"/>
      <c r="BE65" s="378"/>
      <c r="BF65" s="378"/>
      <c r="BG65" s="378"/>
      <c r="BH65" s="378"/>
      <c r="BI65" s="378"/>
      <c r="BJ65" s="378"/>
      <c r="BK65" s="378"/>
      <c r="BL65" s="378"/>
      <c r="BM65" s="378"/>
      <c r="BN65" s="378"/>
      <c r="BO65" s="378"/>
      <c r="BP65" s="378"/>
      <c r="BQ65" s="378"/>
      <c r="BR65" s="378"/>
      <c r="BS65" s="378"/>
      <c r="BT65" s="378"/>
      <c r="BU65" s="378"/>
      <c r="BV65" s="161"/>
      <c r="BW65" s="161"/>
      <c r="BX65" s="161"/>
      <c r="BY65" s="161"/>
      <c r="BZ65" s="161"/>
      <c r="CA65" s="161"/>
      <c r="CB65" s="161"/>
      <c r="CC65" s="161"/>
      <c r="CD65" s="161"/>
      <c r="CE65" s="161"/>
      <c r="CF65" s="161"/>
      <c r="CG65" s="161"/>
      <c r="CH65" s="161"/>
      <c r="CI65" s="161"/>
      <c r="CJ65" s="161"/>
      <c r="CK65" s="161"/>
      <c r="CL65" s="161"/>
      <c r="CM65" s="161"/>
      <c r="CN65" s="161"/>
      <c r="CO65" s="161"/>
      <c r="CP65" s="161"/>
      <c r="CQ65" s="161"/>
      <c r="CR65" s="161"/>
      <c r="CS65" s="161"/>
      <c r="CT65" s="161"/>
      <c r="CU65" s="161"/>
      <c r="CV65" s="161"/>
      <c r="CW65" s="161"/>
      <c r="CX65" s="161"/>
      <c r="CY65" s="161"/>
      <c r="CZ65" s="161"/>
      <c r="DA65" s="161"/>
      <c r="DB65" s="161"/>
      <c r="DC65" s="161"/>
      <c r="DD65" s="161"/>
      <c r="DE65" s="161"/>
      <c r="DF65" s="161"/>
      <c r="DG65" s="161"/>
      <c r="DH65" s="161"/>
      <c r="DI65" s="161"/>
      <c r="DJ65" s="161"/>
      <c r="DK65" s="161"/>
      <c r="DL65" s="161"/>
      <c r="DM65" s="161"/>
      <c r="DN65" s="161"/>
      <c r="DO65" s="161"/>
      <c r="DP65" s="161"/>
      <c r="DQ65" s="161"/>
      <c r="DR65" s="161"/>
      <c r="DS65" s="161"/>
      <c r="DT65" s="161"/>
      <c r="DU65" s="161"/>
      <c r="DV65" s="161"/>
      <c r="DW65" s="161"/>
      <c r="DX65" s="161"/>
    </row>
    <row r="66" ht="16.35" customHeight="1">
      <c r="A66" s="242"/>
      <c r="B66" t="s" s="462">
        <v>187</v>
      </c>
      <c r="C66" t="s" s="252">
        <v>188</v>
      </c>
      <c r="D66" s="254"/>
      <c r="E66" t="s" s="202">
        <v>189</v>
      </c>
      <c r="F66" s="244"/>
      <c r="G66" s="245"/>
      <c r="H66" t="s" s="444">
        <v>190</v>
      </c>
      <c r="I66" t="s" s="444">
        <v>191</v>
      </c>
      <c r="J66" t="s" s="463">
        <v>192</v>
      </c>
      <c r="K66" s="464"/>
      <c r="L66" t="s" s="252">
        <v>193</v>
      </c>
      <c r="M66" t="s" s="465">
        <v>194</v>
      </c>
      <c r="N66" s="254"/>
      <c r="O66" t="s" s="466">
        <v>112</v>
      </c>
      <c r="P66" s="467"/>
      <c r="Q66" s="380"/>
      <c r="R66" s="219"/>
      <c r="S66" s="381"/>
      <c r="T66" t="s" s="468">
        <v>195</v>
      </c>
      <c r="U66" s="469"/>
      <c r="V66" s="469"/>
      <c r="W66" s="469"/>
      <c r="X66" s="469"/>
      <c r="Y66" s="469"/>
      <c r="Z66" s="469"/>
      <c r="AA66" s="469"/>
      <c r="AB66" s="469"/>
      <c r="AC66" s="469"/>
      <c r="AD66" s="470"/>
      <c r="AE66" t="s" s="444">
        <v>196</v>
      </c>
      <c r="AF66" t="s" s="468">
        <v>197</v>
      </c>
      <c r="AG66" s="469"/>
      <c r="AH66" s="469"/>
      <c r="AI66" s="469"/>
      <c r="AJ66" s="469"/>
      <c r="AK66" s="469"/>
      <c r="AL66" s="469"/>
      <c r="AM66" s="469"/>
      <c r="AN66" s="469"/>
      <c r="AO66" s="469"/>
      <c r="AP66" s="470"/>
      <c r="AQ66" t="s" s="444">
        <v>198</v>
      </c>
      <c r="AR66" t="s" s="468">
        <v>197</v>
      </c>
      <c r="AS66" s="469"/>
      <c r="AT66" s="469"/>
      <c r="AU66" s="469"/>
      <c r="AV66" s="469"/>
      <c r="AW66" s="469"/>
      <c r="AX66" s="470"/>
      <c r="AY66" s="471"/>
      <c r="AZ66" s="472"/>
      <c r="BA66" t="s" s="202">
        <v>199</v>
      </c>
      <c r="BB66" s="473">
        <f>COUNTIF(BB68:BB87,"?*")</f>
        <v>0</v>
      </c>
      <c r="BC66" s="473">
        <f>COUNTIF(BC68:BC87,"?*")</f>
        <v>0</v>
      </c>
      <c r="BD66" s="473">
        <f>COUNTIF(BD68:BD87,"?*")</f>
        <v>0</v>
      </c>
      <c r="BE66" s="473">
        <f>COUNTIF(BE68:BE87,"?*")</f>
        <v>0</v>
      </c>
      <c r="BF66" s="473">
        <f>COUNTIF(BF68:BF87,"?*")</f>
        <v>0</v>
      </c>
      <c r="BG66" s="473">
        <f>COUNTIF(BG68:BG87,"?*")</f>
        <v>0</v>
      </c>
      <c r="BH66" s="473">
        <f>COUNTIF(BH68:BH87,"?*")</f>
        <v>0</v>
      </c>
      <c r="BI66" s="473">
        <f>COUNTIF(BI68:BI87,"?*")</f>
        <v>0</v>
      </c>
      <c r="BJ66" s="473">
        <f>COUNTIF(BJ68:BJ87,"?*")</f>
        <v>0</v>
      </c>
      <c r="BK66" s="473">
        <f>COUNTIF(BK68:BK87,"?*")</f>
        <v>0</v>
      </c>
      <c r="BL66" s="473">
        <f>COUNTIF(BL68:BL87,"?*")</f>
        <v>0</v>
      </c>
      <c r="BM66" s="473">
        <f>COUNTIF(BM68:BM87,"?*")</f>
        <v>0</v>
      </c>
      <c r="BN66" s="473">
        <f>COUNTIF(BN68:BN87,"?*")</f>
        <v>0</v>
      </c>
      <c r="BO66" s="473">
        <f>COUNTIF(BO68:BO87,"?*")</f>
        <v>0</v>
      </c>
      <c r="BP66" s="473">
        <f>COUNTIF(BP68:BP87,"?*")</f>
        <v>0</v>
      </c>
      <c r="BQ66" s="473">
        <f>COUNTIF(BQ68:BQ87,"?*")</f>
        <v>0</v>
      </c>
      <c r="BR66" s="473">
        <f>COUNTIF(BR68:BR87,"?*")</f>
        <v>0</v>
      </c>
      <c r="BS66" s="473">
        <f>COUNTIF(BS68:BS87,"?*")</f>
        <v>0</v>
      </c>
      <c r="BT66" s="473">
        <f>COUNTIF(BT68:BT87,"?*")</f>
        <v>0</v>
      </c>
      <c r="BU66" s="473">
        <f>COUNTIF(BU68:BU87,"?*")</f>
        <v>0</v>
      </c>
      <c r="BV66" s="474"/>
      <c r="BW66" s="455"/>
      <c r="BX66" s="455"/>
      <c r="BY66" s="161"/>
      <c r="BZ66" s="161"/>
      <c r="CA66" s="161"/>
      <c r="CB66" s="161"/>
      <c r="CC66" s="161"/>
      <c r="CD66" s="161"/>
      <c r="CE66" s="161"/>
      <c r="CF66" s="161"/>
      <c r="CG66" s="161"/>
      <c r="CH66" s="161"/>
      <c r="CI66" s="161"/>
      <c r="CJ66" s="161"/>
      <c r="CK66" s="161"/>
      <c r="CL66" s="161"/>
      <c r="CM66" s="161"/>
      <c r="CN66" s="161"/>
      <c r="CO66" s="161"/>
      <c r="CP66" s="161"/>
      <c r="CQ66" s="161"/>
      <c r="CR66" s="161"/>
      <c r="CS66" s="161"/>
      <c r="CT66" s="161"/>
      <c r="CU66" s="161"/>
      <c r="CV66" s="161"/>
      <c r="CW66" s="161"/>
      <c r="CX66" s="161"/>
      <c r="CY66" s="161"/>
      <c r="CZ66" s="161"/>
      <c r="DA66" s="161"/>
      <c r="DB66" s="161"/>
      <c r="DC66" s="161"/>
      <c r="DD66" s="161"/>
      <c r="DE66" s="161"/>
      <c r="DF66" s="161"/>
      <c r="DG66" s="161"/>
      <c r="DH66" s="161"/>
      <c r="DI66" s="161"/>
      <c r="DJ66" s="161"/>
      <c r="DK66" s="161"/>
      <c r="DL66" s="161"/>
      <c r="DM66" s="161"/>
      <c r="DN66" s="161"/>
      <c r="DO66" s="161"/>
      <c r="DP66" s="161"/>
      <c r="DQ66" s="161"/>
      <c r="DR66" s="161"/>
      <c r="DS66" s="161"/>
      <c r="DT66" s="161"/>
      <c r="DU66" s="161"/>
      <c r="DV66" s="161"/>
      <c r="DW66" s="161"/>
      <c r="DX66" s="161"/>
    </row>
    <row r="67" ht="48.75" customHeight="1">
      <c r="A67" s="242"/>
      <c r="B67" s="475"/>
      <c r="C67" t="s" s="476">
        <v>200</v>
      </c>
      <c r="D67" t="s" s="266">
        <v>201</v>
      </c>
      <c r="E67" t="s" s="230">
        <v>202</v>
      </c>
      <c r="F67" t="s" s="383">
        <v>203</v>
      </c>
      <c r="G67" s="384"/>
      <c r="H67" s="477"/>
      <c r="I67" s="477"/>
      <c r="J67" s="478"/>
      <c r="K67" s="479"/>
      <c r="L67" s="480"/>
      <c r="M67" s="481"/>
      <c r="N67" s="482"/>
      <c r="O67" t="s" s="230">
        <v>127</v>
      </c>
      <c r="P67" t="s" s="266">
        <v>128</v>
      </c>
      <c r="Q67" s="380"/>
      <c r="R67" s="219"/>
      <c r="S67" s="381"/>
      <c r="T67" t="s" s="352">
        <v>204</v>
      </c>
      <c r="U67" t="s" s="483">
        <v>205</v>
      </c>
      <c r="V67" t="s" s="484">
        <v>206</v>
      </c>
      <c r="W67" t="s" s="483">
        <v>207</v>
      </c>
      <c r="X67" t="s" s="485">
        <v>208</v>
      </c>
      <c r="Y67" s="486"/>
      <c r="Z67" s="486"/>
      <c r="AA67" s="486"/>
      <c r="AB67" t="s" s="485">
        <v>209</v>
      </c>
      <c r="AC67" t="s" s="485">
        <v>210</v>
      </c>
      <c r="AD67" t="s" s="484">
        <v>211</v>
      </c>
      <c r="AE67" s="487"/>
      <c r="AF67" t="s" s="352">
        <v>204</v>
      </c>
      <c r="AG67" t="s" s="483">
        <v>129</v>
      </c>
      <c r="AH67" t="s" s="484">
        <v>130</v>
      </c>
      <c r="AI67" t="s" s="483">
        <v>131</v>
      </c>
      <c r="AJ67" t="s" s="488">
        <v>130</v>
      </c>
      <c r="AK67" s="489"/>
      <c r="AL67" s="489"/>
      <c r="AM67" s="489"/>
      <c r="AN67" t="s" s="490">
        <v>115</v>
      </c>
      <c r="AO67" t="s" s="485">
        <v>115</v>
      </c>
      <c r="AP67" t="s" s="484">
        <v>132</v>
      </c>
      <c r="AQ67" s="491"/>
      <c r="AR67" t="s" s="484">
        <v>212</v>
      </c>
      <c r="AS67" t="s" s="483">
        <v>213</v>
      </c>
      <c r="AT67" t="s" s="484">
        <v>214</v>
      </c>
      <c r="AU67" t="s" s="483">
        <v>215</v>
      </c>
      <c r="AV67" t="s" s="484">
        <v>216</v>
      </c>
      <c r="AW67" t="s" s="492">
        <v>217</v>
      </c>
      <c r="AX67" t="s" s="493">
        <v>218</v>
      </c>
      <c r="AY67" t="s" s="494">
        <v>219</v>
      </c>
      <c r="AZ67" s="472"/>
      <c r="BA67" t="s" s="218">
        <v>220</v>
      </c>
      <c r="BB67" s="495">
        <v>1</v>
      </c>
      <c r="BC67" s="495">
        <v>2</v>
      </c>
      <c r="BD67" s="495">
        <v>3</v>
      </c>
      <c r="BE67" s="495">
        <v>4</v>
      </c>
      <c r="BF67" s="495">
        <v>5</v>
      </c>
      <c r="BG67" s="495">
        <v>6</v>
      </c>
      <c r="BH67" s="495">
        <v>7</v>
      </c>
      <c r="BI67" s="495">
        <v>8</v>
      </c>
      <c r="BJ67" s="495">
        <v>9</v>
      </c>
      <c r="BK67" s="495">
        <v>10</v>
      </c>
      <c r="BL67" s="495">
        <v>11</v>
      </c>
      <c r="BM67" s="495">
        <v>12</v>
      </c>
      <c r="BN67" s="495">
        <v>13</v>
      </c>
      <c r="BO67" s="495">
        <v>14</v>
      </c>
      <c r="BP67" s="495">
        <v>15</v>
      </c>
      <c r="BQ67" s="495">
        <v>16</v>
      </c>
      <c r="BR67" s="495">
        <v>17</v>
      </c>
      <c r="BS67" s="495">
        <v>18</v>
      </c>
      <c r="BT67" s="495">
        <v>19</v>
      </c>
      <c r="BU67" s="495">
        <v>20</v>
      </c>
      <c r="BV67" t="s" s="496">
        <v>221</v>
      </c>
      <c r="BW67" t="s" s="496">
        <v>222</v>
      </c>
      <c r="BX67" t="s" s="496">
        <v>223</v>
      </c>
      <c r="BY67" s="459"/>
      <c r="BZ67" s="161"/>
      <c r="CA67" s="161"/>
      <c r="CB67" s="161"/>
      <c r="CC67" s="161"/>
      <c r="CD67" s="161"/>
      <c r="CE67" s="161"/>
      <c r="CF67" s="161"/>
      <c r="CG67" s="161"/>
      <c r="CH67" s="161"/>
      <c r="CI67" s="161"/>
      <c r="CJ67" s="161"/>
      <c r="CK67" s="161"/>
      <c r="CL67" s="161"/>
      <c r="CM67" s="161"/>
      <c r="CN67" s="161"/>
      <c r="CO67" s="161"/>
      <c r="CP67" s="161"/>
      <c r="CQ67" s="161"/>
      <c r="CR67" s="161"/>
      <c r="CS67" s="161"/>
      <c r="CT67" s="161"/>
      <c r="CU67" s="161"/>
      <c r="CV67" s="161"/>
      <c r="CW67" s="161"/>
      <c r="CX67" s="161"/>
      <c r="CY67" s="161"/>
      <c r="CZ67" s="161"/>
      <c r="DA67" s="161"/>
      <c r="DB67" s="161"/>
      <c r="DC67" s="161"/>
      <c r="DD67" s="161"/>
      <c r="DE67" s="161"/>
      <c r="DF67" s="161"/>
      <c r="DG67" s="161"/>
      <c r="DH67" s="161"/>
      <c r="DI67" s="161"/>
      <c r="DJ67" s="161"/>
      <c r="DK67" s="161"/>
      <c r="DL67" s="161"/>
      <c r="DM67" s="161"/>
      <c r="DN67" s="161"/>
      <c r="DO67" s="161"/>
      <c r="DP67" s="161"/>
      <c r="DQ67" s="161"/>
      <c r="DR67" s="161"/>
      <c r="DS67" s="161"/>
      <c r="DT67" s="161"/>
      <c r="DU67" s="161"/>
      <c r="DV67" s="161"/>
      <c r="DW67" s="161"/>
      <c r="DX67" s="161"/>
    </row>
    <row r="68" ht="15.6" customHeight="1">
      <c r="A68" s="242"/>
      <c r="B68" s="272">
        <v>1</v>
      </c>
      <c r="C68" t="s" s="497">
        <f>IF(D68="","",C11)</f>
      </c>
      <c r="D68" t="s" s="498">
        <f>IF(OR(K11=0,K11=""),"",D11)</f>
      </c>
      <c r="E68" t="s" s="499">
        <f>IF(AX68="","",AX68)</f>
      </c>
      <c r="F68" s="500"/>
      <c r="G68" s="275"/>
      <c r="H68" s="501"/>
      <c r="I68" t="s" s="502">
        <f>IF(OR(K11="",K11=0),"",K11)</f>
      </c>
      <c r="J68" t="s" s="503">
        <f>_xlfn.IFERROR(IF(F68="","",VLOOKUP(F68,'10. Condition and Temporal'!$B$6:$F$103,5,FALSE)),"Error ▲")</f>
      </c>
      <c r="K68" s="504"/>
      <c r="L68" t="s" s="505">
        <f>_xlfn.IFERROR(IF(D68="","",IF(AX68="Distinctiveness",(((((I68*AH68*AJ68)-(I68*V68*X68))*(AV68*AT68))+(I68*V68*X68))*(AP68))/10000,((((I68*AJ68*AH68)-(I68*V68*X68))*(AV68*AR68))+(I68*V68*X68))*AP68/10000)),"Error ▲")</f>
      </c>
      <c r="M68" t="s" s="506">
        <f>_xlfn.IFERROR(IF(F68="","",L68-AD68),"Error ▲")</f>
      </c>
      <c r="N68" s="398"/>
      <c r="O68" s="399"/>
      <c r="P68" s="275"/>
      <c r="Q68" s="380"/>
      <c r="R68" s="219"/>
      <c r="S68" s="381"/>
      <c r="T68" t="s" s="507">
        <f>IF(D68="","",K11)</f>
      </c>
      <c r="U68" t="s" s="508">
        <f>IF($D68="","",T11)</f>
      </c>
      <c r="V68" t="s" s="509">
        <f>IF($D68="","",V11)</f>
      </c>
      <c r="W68" t="s" s="508">
        <f>IF($D68="","",W11)</f>
      </c>
      <c r="X68" t="s" s="509">
        <f>IF($D68="","",X11)</f>
      </c>
      <c r="Y68" s="510"/>
      <c r="Z68" s="511"/>
      <c r="AA68" s="512"/>
      <c r="AB68" t="s" s="508">
        <f>IF($D68="","",AB11)</f>
      </c>
      <c r="AC68" t="s" s="509">
        <f>IF($D68="","",AD11)</f>
      </c>
      <c r="AD68" t="s" s="507">
        <f>IF(AC68="","",(T68*V68*X68)*AC68/10000)</f>
      </c>
      <c r="AE68" t="s" s="507">
        <f>IF(AD68="","",IF(AH68&lt;V68,"Not Acceptable","Acceptable"))</f>
      </c>
      <c r="AF68" t="s" s="507">
        <f>IF(D68="","",I68)</f>
      </c>
      <c r="AG68" t="s" s="508">
        <f>IF(D68="","",VLOOKUP(F68,'9. All Habitats + Multipliers'!$C$4:$K$102,5,FALSE))</f>
      </c>
      <c r="AH68" t="s" s="509">
        <f>IF(AG68="","",VLOOKUP(AG68,'11. Lists'!$B$47:$D$49,2,FALSE))</f>
      </c>
      <c r="AI68" t="s" s="508">
        <f>IF(D68="","",J68)</f>
      </c>
      <c r="AJ68" t="s" s="509">
        <f>IF(AI68="","",VLOOKUP(AI68,'11. Lists'!$F$47:$G$51,2,FALSE))</f>
      </c>
      <c r="AK68" s="513"/>
      <c r="AL68" s="514"/>
      <c r="AM68" s="515"/>
      <c r="AN68" t="s" s="508">
        <f>IF(H68="","",H68)</f>
      </c>
      <c r="AO68" t="s" s="516">
        <f>IF(AN68="","",VLOOKUP(AN68,'11. Lists'!$F$36:$H$38,2,FALSE))</f>
      </c>
      <c r="AP68" t="s" s="509">
        <f>IF(AN68="","",VLOOKUP(AN68,'11. Lists'!$F$36:$H$38,3,FALSE))</f>
      </c>
      <c r="AQ68" t="s" s="508">
        <f>IF(D68="","",IF(AX68="Distinctiveness","N/A",VLOOKUP(F68,'10. Condition and Temporal'!$B$6:$L$103,11,FALSE)))</f>
      </c>
      <c r="AR68" t="s" s="509">
        <f>IF(AQ68="","",IF(AQ68="N/A","1",VLOOKUP(AQ68,'11. Lists'!$I$47:$K$80,3,FALSE)))</f>
      </c>
      <c r="AS68" t="s" s="508">
        <f>IF(D68="","",IF(AX68="Condition","N/A",VLOOKUP(F68,'10. Condition and Temporal'!$B$6:$M$106,12,FALSE)))</f>
      </c>
      <c r="AT68" t="s" s="509">
        <f>IF(AS68="","",IF(AS68="N/A","1",VLOOKUP(AS68,'11. Lists'!$I$47:$K$80,3,FALSE)))</f>
      </c>
      <c r="AU68" t="s" s="508">
        <f>IF(D68="","",VLOOKUP(F68,'9. All Habitats + Multipliers'!$C$4:$K$102,8,FALSE))</f>
      </c>
      <c r="AV68" t="s" s="509">
        <f>IF(AU68="","",VLOOKUP(AU68,'11. Lists'!$J$35:$K$38,2,FALSE))</f>
      </c>
      <c r="AW68" t="s" s="507">
        <f>IF(D68="","",VLOOKUP(D68,'10. Condition and Temporal'!$B$6:$M$103,4,FALSE))</f>
      </c>
      <c r="AX68" t="s" s="507">
        <f>IF(F68="","",IF(D68=F68,"Condition","Distinctiveness"))</f>
      </c>
      <c r="AY68" t="s" s="517">
        <f>IF(COUNTIF(F68,"*grassland*"),"Grassland",IF(COUNTIF(F68,"*scree*"),"Sparsely vegetated land",C68))</f>
      </c>
      <c r="AZ68" s="472"/>
      <c r="BA68" s="401">
        <v>1</v>
      </c>
      <c r="BB68" t="s" s="291">
        <f>TRIM(MID(SUBSTITUTE($AW$68,$BA$64,REPT(" ",LEN($AW$68))),($BA68-1)*LEN($AW$68)+1,LEN($AW$68)))</f>
      </c>
      <c r="BC68" t="s" s="291">
        <f>TRIM(MID(SUBSTITUTE($AW$69,$BA$64,REPT(" ",LEN($AW$69))),($BA68-1)*LEN($AW$69)+1,LEN($AW$69)))</f>
      </c>
      <c r="BD68" t="s" s="291">
        <f>TRIM(MID(SUBSTITUTE($AW$70,$BA$64,REPT(" ",LEN($AW$70))),($BA68-1)*LEN($AW$70)+1,LEN($AW$70)))</f>
      </c>
      <c r="BE68" t="s" s="291">
        <f>TRIM(MID(SUBSTITUTE($AW$71,$BA$64,REPT(" ",LEN($AW$71))),($BA68-1)*LEN($AW$71)+1,LEN($AW$71)))</f>
      </c>
      <c r="BF68" t="s" s="291">
        <f>TRIM(MID(SUBSTITUTE($AW$72,$BA$64,REPT(" ",LEN($AW$72))),($BA68-1)*LEN($AW$72)+1,LEN($AW$72)))</f>
      </c>
      <c r="BG68" t="s" s="291">
        <f>TRIM(MID(SUBSTITUTE($AW$73,$BA$64,REPT(" ",LEN($AW$73))),($BA68-1)*LEN($AW$73)+1,LEN($AW$73)))</f>
      </c>
      <c r="BH68" t="s" s="291">
        <f>TRIM(MID(SUBSTITUTE($AW$74,$BA$64,REPT(" ",LEN($AW$74))),($BA68-1)*LEN($AW$74)+1,LEN($AW$74)))</f>
      </c>
      <c r="BI68" t="s" s="291">
        <f>TRIM(MID(SUBSTITUTE($AW$75,$BA$64,REPT(" ",LEN($AW$75))),($BA68-1)*LEN($AW$75)+1,LEN($AW$75)))</f>
      </c>
      <c r="BJ68" t="s" s="291">
        <f>TRIM(MID(SUBSTITUTE($AW$76,$BA$64,REPT(" ",LEN($AW$76))),($BA68-1)*LEN($AW$76)+1,LEN($AW$76)))</f>
      </c>
      <c r="BK68" t="s" s="291">
        <f>TRIM(MID(SUBSTITUTE($AW$77,$BA$64,REPT(" ",LEN($AW$77))),($BA68-1)*LEN($AW$77)+1,LEN($AW$77)))</f>
      </c>
      <c r="BL68" t="s" s="291">
        <f>TRIM(MID(SUBSTITUTE($AW$78,$BA$64,REPT(" ",LEN($AW$78))),($BA68-1)*LEN($AW$78)+1,LEN($AW$78)))</f>
      </c>
      <c r="BM68" t="s" s="291">
        <f>TRIM(MID(SUBSTITUTE($AW$79,$BA$64,REPT(" ",LEN($AW$79))),($BA68-1)*LEN($AW$79)+1,LEN($AW$79)))</f>
      </c>
      <c r="BN68" t="s" s="291">
        <f>TRIM(MID(SUBSTITUTE($AW$80,$BA$64,REPT(" ",LEN($AW$80))),($BA68-1)*LEN($AW$80)+1,LEN($AW$80)))</f>
      </c>
      <c r="BO68" t="s" s="291">
        <f>TRIM(MID(SUBSTITUTE($AW$81,$BA$64,REPT(" ",LEN($AW$81))),($BA68-1)*LEN($AW$81)+1,LEN($AW$81)))</f>
      </c>
      <c r="BP68" t="s" s="291">
        <f>TRIM(MID(SUBSTITUTE($AW$82,$BA$64,REPT(" ",LEN($AW$82))),($BA68-1)*LEN($AW$82)+1,LEN($AW$82)))</f>
      </c>
      <c r="BQ68" t="s" s="291">
        <f>TRIM(MID(SUBSTITUTE($AW$83,$BA$64,REPT(" ",LEN($AW$83))),($BA68-1)*LEN($AW$83)+1,LEN($AW$83)))</f>
      </c>
      <c r="BR68" t="s" s="291">
        <f>TRIM(MID(SUBSTITUTE($AW$84,$BA$64,REPT(" ",LEN($AW$84))),($BA68-1)*LEN($AW$84)+1,LEN($AW$84)))</f>
      </c>
      <c r="BS68" t="s" s="291">
        <f>TRIM(MID(SUBSTITUTE($AW$85,$BA$64,REPT(" ",LEN($AW$85))),($BA68-1)*LEN($AW$85)+1,LEN($AW$85)))</f>
      </c>
      <c r="BT68" t="s" s="291">
        <f>TRIM(MID(SUBSTITUTE($AW$86,$BA$64,REPT(" ",LEN($AW$86))),($BA68-1)*LEN($AW$86)+1,LEN($AW$86)))</f>
      </c>
      <c r="BU68" t="s" s="313">
        <f>TRIM(MID(SUBSTITUTE($AW$87,$BA$64,REPT(" ",LEN($AW$87))),($BA68-1)*LEN($AW$87)+1,LEN($AW$87)))</f>
      </c>
      <c r="BV68" t="s" s="285">
        <f>IF(BX68=0,"",CONCATENATE(BW68,"68:",BW68,BX68+67))</f>
      </c>
      <c r="BW68" t="s" s="291">
        <v>224</v>
      </c>
      <c r="BX68" s="518">
        <f>BB66</f>
        <v>0</v>
      </c>
      <c r="BY68" s="459"/>
      <c r="BZ68" s="161"/>
      <c r="CA68" s="161"/>
      <c r="CB68" s="161"/>
      <c r="CC68" s="161"/>
      <c r="CD68" s="161"/>
      <c r="CE68" s="161"/>
      <c r="CF68" s="161"/>
      <c r="CG68" s="161"/>
      <c r="CH68" s="161"/>
      <c r="CI68" s="161"/>
      <c r="CJ68" s="161"/>
      <c r="CK68" s="161"/>
      <c r="CL68" s="161"/>
      <c r="CM68" s="161"/>
      <c r="CN68" s="161"/>
      <c r="CO68" s="161"/>
      <c r="CP68" s="161"/>
      <c r="CQ68" s="161"/>
      <c r="CR68" s="161"/>
      <c r="CS68" s="161"/>
      <c r="CT68" s="161"/>
      <c r="CU68" s="161"/>
      <c r="CV68" s="161"/>
      <c r="CW68" s="161"/>
      <c r="CX68" s="161"/>
      <c r="CY68" s="161"/>
      <c r="CZ68" s="161"/>
      <c r="DA68" s="161"/>
      <c r="DB68" s="161"/>
      <c r="DC68" s="161"/>
      <c r="DD68" s="161"/>
      <c r="DE68" s="161"/>
      <c r="DF68" s="161"/>
      <c r="DG68" s="161"/>
      <c r="DH68" s="161"/>
      <c r="DI68" s="161"/>
      <c r="DJ68" s="161"/>
      <c r="DK68" s="161"/>
      <c r="DL68" s="161"/>
      <c r="DM68" s="161"/>
      <c r="DN68" s="161"/>
      <c r="DO68" s="161"/>
      <c r="DP68" s="161"/>
      <c r="DQ68" s="161"/>
      <c r="DR68" s="161"/>
      <c r="DS68" s="161"/>
      <c r="DT68" s="161"/>
      <c r="DU68" s="161"/>
      <c r="DV68" s="161"/>
      <c r="DW68" s="161"/>
      <c r="DX68" s="161"/>
    </row>
    <row r="69" ht="15.6" customHeight="1">
      <c r="A69" s="242"/>
      <c r="B69" s="296">
        <v>2</v>
      </c>
      <c r="C69" t="s" s="519">
        <f>IF(D69="","",C12)</f>
      </c>
      <c r="D69" t="s" s="520">
        <f>IF(OR(K12=0,K12=""),"",D12)</f>
      </c>
      <c r="E69" t="s" s="521">
        <f>IF(AX69="","",AX69)</f>
      </c>
      <c r="F69" s="314"/>
      <c r="G69" s="315"/>
      <c r="H69" s="501"/>
      <c r="I69" t="s" s="502">
        <f>IF(OR(K12="",K12=0),"",K12)</f>
      </c>
      <c r="J69" t="s" s="503">
        <f>_xlfn.IFERROR(IF(F69="","",VLOOKUP(F69,'10. Condition and Temporal'!$B$6:$F$103,5,FALSE)),"Error ▲")</f>
      </c>
      <c r="K69" s="504"/>
      <c r="L69" t="s" s="418">
        <f>_xlfn.IFERROR(IF(D69="","",IF(AX69="Distinctiveness",(((((I69*AH69*AJ69)-(I69*V69*X69))*(AV69*AT69))+(I69*V69*X69))*(AP69))/10000,((((I69*AJ69*AH69)-(I69*V69*X69))*(AV69*AR69))+(I69*V69*X69))*AP69/10000)),"Error ▲")</f>
      </c>
      <c r="M69" t="s" s="311">
        <f>_xlfn.IFERROR(IF(F69="","",L69-AD69),"Error ▲")</f>
      </c>
      <c r="N69" s="414"/>
      <c r="O69" s="415"/>
      <c r="P69" s="315"/>
      <c r="Q69" s="380"/>
      <c r="R69" s="219"/>
      <c r="S69" s="381"/>
      <c r="T69" t="s" s="295">
        <f>IF(D69="","",K12)</f>
      </c>
      <c r="U69" t="s" s="285">
        <f>IF($D69="","",T12)</f>
      </c>
      <c r="V69" t="s" s="313">
        <f>IF($D69="","",V12)</f>
      </c>
      <c r="W69" t="s" s="285">
        <f>IF($D69="","",W12)</f>
      </c>
      <c r="X69" t="s" s="313">
        <f>IF($D69="","",X12)</f>
      </c>
      <c r="Y69" s="510"/>
      <c r="Z69" s="511"/>
      <c r="AA69" s="512"/>
      <c r="AB69" t="s" s="285">
        <f>IF($D69="","",AB12)</f>
      </c>
      <c r="AC69" t="s" s="313">
        <f>IF($D69="","",AD12)</f>
      </c>
      <c r="AD69" t="s" s="295">
        <f>IF(AC69="","",(T69*V69*X69)*AC69/10000)</f>
      </c>
      <c r="AE69" t="s" s="295">
        <f>IF(AD69="","",IF(AH69&lt;V69,"Not Acceptable","Acceptable"))</f>
      </c>
      <c r="AF69" t="s" s="295">
        <f>IF(D69="","",I69)</f>
      </c>
      <c r="AG69" t="s" s="285">
        <f>IF(D69="","",VLOOKUP(F69,'9. All Habitats + Multipliers'!$C$4:$K$102,5,FALSE))</f>
      </c>
      <c r="AH69" t="s" s="313">
        <f>IF(AG69="","",VLOOKUP(AG69,'11. Lists'!$B$47:$D$49,2,FALSE))</f>
      </c>
      <c r="AI69" t="s" s="285">
        <f>IF(D69="","",J69)</f>
      </c>
      <c r="AJ69" t="s" s="313">
        <f>IF(AI69="","",VLOOKUP(AI69,'11. Lists'!$F$47:$G$51,2,FALSE))</f>
      </c>
      <c r="AK69" s="510"/>
      <c r="AL69" s="511"/>
      <c r="AM69" s="512"/>
      <c r="AN69" t="s" s="285">
        <f>IF(H69="","",H69)</f>
      </c>
      <c r="AO69" t="s" s="291">
        <f>IF(AN69="","",VLOOKUP(AN69,'11. Lists'!$F$36:$H$38,2,FALSE))</f>
      </c>
      <c r="AP69" t="s" s="313">
        <f>IF(AN69="","",VLOOKUP(AN69,'11. Lists'!$F$36:$H$38,3,FALSE))</f>
      </c>
      <c r="AQ69" t="s" s="285">
        <f>IF(D69="","",IF(AX69="Distinctiveness","N/A",VLOOKUP(F69,'10. Condition and Temporal'!$B$6:$L$103,11,FALSE)))</f>
      </c>
      <c r="AR69" t="s" s="313">
        <f>IF(AQ69="","",IF(AQ69="N/A","1",VLOOKUP(AQ69,'11. Lists'!$I$47:$K$80,3,FALSE)))</f>
      </c>
      <c r="AS69" t="s" s="285">
        <f>IF(D69="","",IF(AX69="Condition","N/A",VLOOKUP(F69,'10. Condition and Temporal'!$B$6:$M$106,12,FALSE)))</f>
      </c>
      <c r="AT69" t="s" s="313">
        <f>IF(AS69="","",IF(AS69="N/A","1",VLOOKUP(AS69,'11. Lists'!$I$47:$K$80,3,FALSE)))</f>
      </c>
      <c r="AU69" t="s" s="285">
        <f>IF(D69="","",VLOOKUP(F69,'9. All Habitats + Multipliers'!$C$4:$K$102,8,FALSE))</f>
      </c>
      <c r="AV69" t="s" s="313">
        <f>IF(AU69="","",VLOOKUP(AU69,'11. Lists'!$J$35:$K$38,2,FALSE))</f>
      </c>
      <c r="AW69" t="s" s="295">
        <f>IF(D69="","",VLOOKUP(D69,'10. Condition and Temporal'!$B$6:$M$103,4,FALSE))</f>
      </c>
      <c r="AX69" t="s" s="295">
        <f>IF(F69="","",IF(D69=F69,"Condition","Distinctiveness"))</f>
      </c>
      <c r="AY69" t="s" s="522">
        <f>IF(COUNTIF(F69,"*grassland*"),"Grassland",IF(COUNTIF(F69,"*scree*"),"Sparsely vegetated land",C69))</f>
      </c>
      <c r="AZ69" s="472"/>
      <c r="BA69" s="401">
        <v>2</v>
      </c>
      <c r="BB69" t="s" s="291">
        <f>TRIM(MID(SUBSTITUTE($AW$68,$BA$64,REPT(" ",LEN($AW$68))),($BA69-1)*LEN($AW$68)+1,LEN($AW$68)))</f>
      </c>
      <c r="BC69" t="s" s="291">
        <f>TRIM(MID(SUBSTITUTE($AW$69,$BA$64,REPT(" ",LEN($AW$69))),($BA69-1)*LEN($AW$69)+1,LEN($AW$69)))</f>
      </c>
      <c r="BD69" t="s" s="291">
        <f>TRIM(MID(SUBSTITUTE($AW$70,$BA$64,REPT(" ",LEN($AW$70))),($BA69-1)*LEN($AW$70)+1,LEN($AW$70)))</f>
      </c>
      <c r="BE69" t="s" s="291">
        <f>TRIM(MID(SUBSTITUTE($AW$71,$BA$64,REPT(" ",LEN($AW$71))),($BA69-1)*LEN($AW$71)+1,LEN($AW$71)))</f>
      </c>
      <c r="BF69" t="s" s="291">
        <f>TRIM(MID(SUBSTITUTE($AW$72,$BA$64,REPT(" ",LEN($AW$72))),($BA69-1)*LEN($AW$72)+1,LEN($AW$72)))</f>
      </c>
      <c r="BG69" t="s" s="291">
        <f>TRIM(MID(SUBSTITUTE($AW$73,$BA$64,REPT(" ",LEN($AW$73))),($BA69-1)*LEN($AW$73)+1,LEN($AW$73)))</f>
      </c>
      <c r="BH69" t="s" s="291">
        <f>TRIM(MID(SUBSTITUTE($AW$74,$BA$64,REPT(" ",LEN($AW$74))),($BA69-1)*LEN($AW$74)+1,LEN($AW$74)))</f>
      </c>
      <c r="BI69" t="s" s="291">
        <f>TRIM(MID(SUBSTITUTE($AW$75,$BA$64,REPT(" ",LEN($AW$75))),($BA69-1)*LEN($AW$75)+1,LEN($AW$75)))</f>
      </c>
      <c r="BJ69" t="s" s="291">
        <f>TRIM(MID(SUBSTITUTE($AW$76,$BA$64,REPT(" ",LEN($AW$76))),($BA69-1)*LEN($AW$76)+1,LEN($AW$76)))</f>
      </c>
      <c r="BK69" t="s" s="291">
        <f>TRIM(MID(SUBSTITUTE($AW$77,$BA$64,REPT(" ",LEN($AW$77))),($BA69-1)*LEN($AW$77)+1,LEN($AW$77)))</f>
      </c>
      <c r="BL69" t="s" s="291">
        <f>TRIM(MID(SUBSTITUTE($AW$78,$BA$64,REPT(" ",LEN($AW$78))),($BA69-1)*LEN($AW$78)+1,LEN($AW$78)))</f>
      </c>
      <c r="BM69" t="s" s="291">
        <f>TRIM(MID(SUBSTITUTE($AW$79,$BA$64,REPT(" ",LEN($AW$79))),($BA69-1)*LEN($AW$79)+1,LEN($AW$79)))</f>
      </c>
      <c r="BN69" t="s" s="291">
        <f>TRIM(MID(SUBSTITUTE($AW$80,$BA$64,REPT(" ",LEN($AW$80))),($BA69-1)*LEN($AW$80)+1,LEN($AW$80)))</f>
      </c>
      <c r="BO69" t="s" s="291">
        <f>TRIM(MID(SUBSTITUTE($AW$81,$BA$64,REPT(" ",LEN($AW$81))),($BA69-1)*LEN($AW$81)+1,LEN($AW$81)))</f>
      </c>
      <c r="BP69" t="s" s="291">
        <f>TRIM(MID(SUBSTITUTE($AW$82,$BA$64,REPT(" ",LEN($AW$82))),($BA69-1)*LEN($AW$82)+1,LEN($AW$82)))</f>
      </c>
      <c r="BQ69" t="s" s="291">
        <f>TRIM(MID(SUBSTITUTE($AW$83,$BA$64,REPT(" ",LEN($AW$83))),($BA69-1)*LEN($AW$83)+1,LEN($AW$83)))</f>
      </c>
      <c r="BR69" t="s" s="291">
        <f>TRIM(MID(SUBSTITUTE($AW$84,$BA$64,REPT(" ",LEN($AW$84))),($BA69-1)*LEN($AW$84)+1,LEN($AW$84)))</f>
      </c>
      <c r="BS69" t="s" s="291">
        <f>TRIM(MID(SUBSTITUTE($AW$85,$BA$64,REPT(" ",LEN($AW$85))),($BA69-1)*LEN($AW$85)+1,LEN($AW$85)))</f>
      </c>
      <c r="BT69" t="s" s="291">
        <f>TRIM(MID(SUBSTITUTE($AW$86,$BA$64,REPT(" ",LEN($AW$86))),($BA69-1)*LEN($AW$86)+1,LEN($AW$86)))</f>
      </c>
      <c r="BU69" t="s" s="313">
        <f>TRIM(MID(SUBSTITUTE($AW$87,$BA$64,REPT(" ",LEN($AW$87))),($BA69-1)*LEN($AW$87)+1,LEN($AW$87)))</f>
      </c>
      <c r="BV69" t="s" s="285">
        <f>IF(BX69=0,"",CONCATENATE(BW69,"68:",BW69,BX69+67))</f>
      </c>
      <c r="BW69" t="s" s="291">
        <v>225</v>
      </c>
      <c r="BX69" s="518">
        <f>BC66</f>
        <v>0</v>
      </c>
      <c r="BY69" s="459"/>
      <c r="BZ69" s="161"/>
      <c r="CA69" s="161"/>
      <c r="CB69" s="161"/>
      <c r="CC69" s="161"/>
      <c r="CD69" s="161"/>
      <c r="CE69" s="161"/>
      <c r="CF69" s="161"/>
      <c r="CG69" s="161"/>
      <c r="CH69" s="161"/>
      <c r="CI69" s="161"/>
      <c r="CJ69" s="161"/>
      <c r="CK69" s="161"/>
      <c r="CL69" s="161"/>
      <c r="CM69" s="161"/>
      <c r="CN69" s="161"/>
      <c r="CO69" s="161"/>
      <c r="CP69" s="161"/>
      <c r="CQ69" s="161"/>
      <c r="CR69" s="161"/>
      <c r="CS69" s="161"/>
      <c r="CT69" s="161"/>
      <c r="CU69" s="161"/>
      <c r="CV69" s="161"/>
      <c r="CW69" s="161"/>
      <c r="CX69" s="161"/>
      <c r="CY69" s="161"/>
      <c r="CZ69" s="161"/>
      <c r="DA69" s="161"/>
      <c r="DB69" s="161"/>
      <c r="DC69" s="161"/>
      <c r="DD69" s="161"/>
      <c r="DE69" s="161"/>
      <c r="DF69" s="161"/>
      <c r="DG69" s="161"/>
      <c r="DH69" s="161"/>
      <c r="DI69" s="161"/>
      <c r="DJ69" s="161"/>
      <c r="DK69" s="161"/>
      <c r="DL69" s="161"/>
      <c r="DM69" s="161"/>
      <c r="DN69" s="161"/>
      <c r="DO69" s="161"/>
      <c r="DP69" s="161"/>
      <c r="DQ69" s="161"/>
      <c r="DR69" s="161"/>
      <c r="DS69" s="161"/>
      <c r="DT69" s="161"/>
      <c r="DU69" s="161"/>
      <c r="DV69" s="161"/>
      <c r="DW69" s="161"/>
      <c r="DX69" s="161"/>
    </row>
    <row r="70" ht="15.6" customHeight="1">
      <c r="A70" s="242"/>
      <c r="B70" s="296">
        <v>3</v>
      </c>
      <c r="C70" t="s" s="519">
        <f>IF(D70="","",C13)</f>
      </c>
      <c r="D70" t="s" s="520">
        <f>IF(OR(K13=0,K13=""),"",D13)</f>
      </c>
      <c r="E70" t="s" s="521">
        <f>IF(AX70="","",AX70)</f>
      </c>
      <c r="F70" s="314"/>
      <c r="G70" s="315"/>
      <c r="H70" s="501"/>
      <c r="I70" t="s" s="502">
        <f>IF(OR(K13="",K13=0),"",K13)</f>
      </c>
      <c r="J70" t="s" s="503">
        <f>_xlfn.IFERROR(IF(F70="","",VLOOKUP(F70,'10. Condition and Temporal'!$B$6:$F$103,5,FALSE)),"Error ▲")</f>
      </c>
      <c r="K70" s="504"/>
      <c r="L70" t="s" s="418">
        <f>_xlfn.IFERROR(IF(D70="","",IF(AX70="Distinctiveness",(((((I70*AH70*AJ70)-(I70*V70*X70))*(AV70*AT70))+(I70*V70*X70))*(AP70))/10000,((((I70*AJ70*AH70)-(I70*V70*X70))*(AV70*AR70))+(I70*V70*X70))*AP70/10000)),"Error ▲")</f>
      </c>
      <c r="M70" t="s" s="311">
        <f>_xlfn.IFERROR(IF(F70="","",L70-AD70),"Error ▲")</f>
      </c>
      <c r="N70" s="414"/>
      <c r="O70" s="415"/>
      <c r="P70" s="315"/>
      <c r="Q70" s="380"/>
      <c r="R70" s="219"/>
      <c r="S70" s="381"/>
      <c r="T70" t="s" s="295">
        <f>IF(D70="","",K13)</f>
      </c>
      <c r="U70" t="s" s="285">
        <f>IF($D70="","",T13)</f>
      </c>
      <c r="V70" t="s" s="313">
        <f>IF($D70="","",V13)</f>
      </c>
      <c r="W70" t="s" s="285">
        <f>IF($D70="","",W13)</f>
      </c>
      <c r="X70" t="s" s="313">
        <f>IF($D70="","",X13)</f>
      </c>
      <c r="Y70" s="510"/>
      <c r="Z70" s="511"/>
      <c r="AA70" s="512"/>
      <c r="AB70" t="s" s="285">
        <f>IF($D70="","",AB13)</f>
      </c>
      <c r="AC70" t="s" s="313">
        <f>IF($D70="","",AD13)</f>
      </c>
      <c r="AD70" t="s" s="295">
        <f>IF(AC70="","",(T70*V70*X70)*AC70/10000)</f>
      </c>
      <c r="AE70" t="s" s="295">
        <f>IF(AD70="","",IF(AH70&lt;V70,"Not Acceptable","Acceptable"))</f>
      </c>
      <c r="AF70" t="s" s="295">
        <f>IF(D70="","",I70)</f>
      </c>
      <c r="AG70" t="s" s="285">
        <f>IF(D70="","",VLOOKUP(F70,'9. All Habitats + Multipliers'!$C$4:$K$102,5,FALSE))</f>
      </c>
      <c r="AH70" t="s" s="313">
        <f>IF(AG70="","",VLOOKUP(AG70,'11. Lists'!$B$47:$D$49,2,FALSE))</f>
      </c>
      <c r="AI70" t="s" s="285">
        <f>IF(D70="","",J70)</f>
      </c>
      <c r="AJ70" t="s" s="313">
        <f>IF(AI70="","",VLOOKUP(AI70,'11. Lists'!$F$47:$G$51,2,FALSE))</f>
      </c>
      <c r="AK70" s="510"/>
      <c r="AL70" s="511"/>
      <c r="AM70" s="512"/>
      <c r="AN70" t="s" s="285">
        <f>IF(H70="","",H70)</f>
      </c>
      <c r="AO70" t="s" s="291">
        <f>IF(AN70="","",VLOOKUP(AN70,'11. Lists'!$F$36:$H$38,2,FALSE))</f>
      </c>
      <c r="AP70" t="s" s="313">
        <f>IF(AN70="","",VLOOKUP(AN70,'11. Lists'!$F$36:$H$38,3,FALSE))</f>
      </c>
      <c r="AQ70" t="s" s="285">
        <f>IF(D70="","",IF(AX70="Distinctiveness","N/A",VLOOKUP(F70,'10. Condition and Temporal'!$B$6:$L$103,11,FALSE)))</f>
      </c>
      <c r="AR70" t="s" s="313">
        <f>IF(AQ70="","",IF(AQ70="N/A","1",VLOOKUP(AQ70,'11. Lists'!$I$47:$K$80,3,FALSE)))</f>
      </c>
      <c r="AS70" t="s" s="285">
        <f>IF(D70="","",IF(AX70="Condition","N/A",VLOOKUP(F70,'10. Condition and Temporal'!$B$6:$M$106,12,FALSE)))</f>
      </c>
      <c r="AT70" t="s" s="313">
        <f>IF(AS70="","",IF(AS70="N/A","1",VLOOKUP(AS70,'11. Lists'!$I$47:$K$80,3,FALSE)))</f>
      </c>
      <c r="AU70" t="s" s="285">
        <f>IF(D70="","",VLOOKUP(F70,'9. All Habitats + Multipliers'!$C$4:$K$102,8,FALSE))</f>
      </c>
      <c r="AV70" t="s" s="313">
        <f>IF(AU70="","",VLOOKUP(AU70,'11. Lists'!$J$35:$K$38,2,FALSE))</f>
      </c>
      <c r="AW70" t="s" s="295">
        <f>IF(D70="","",VLOOKUP(D70,'10. Condition and Temporal'!$B$6:$M$103,4,FALSE))</f>
      </c>
      <c r="AX70" t="s" s="295">
        <f>IF(F70="","",IF(D70=F70,"Condition","Distinctiveness"))</f>
      </c>
      <c r="AY70" t="s" s="522">
        <f>IF(COUNTIF(F70,"*grassland*"),"Grassland",IF(COUNTIF(F70,"*scree*"),"Sparsely vegetated land",C70))</f>
      </c>
      <c r="AZ70" s="472"/>
      <c r="BA70" s="401">
        <v>3</v>
      </c>
      <c r="BB70" t="s" s="291">
        <f>TRIM(MID(SUBSTITUTE($AW$68,$BA$64,REPT(" ",LEN($AW$68))),($BA70-1)*LEN($AW$68)+1,LEN($AW$68)))</f>
      </c>
      <c r="BC70" t="s" s="291">
        <f>TRIM(MID(SUBSTITUTE($AW$69,$BA$64,REPT(" ",LEN($AW$69))),($BA70-1)*LEN($AW$69)+1,LEN($AW$69)))</f>
      </c>
      <c r="BD70" t="s" s="291">
        <f>TRIM(MID(SUBSTITUTE($AW$70,$BA$64,REPT(" ",LEN($AW$70))),($BA70-1)*LEN($AW$70)+1,LEN($AW$70)))</f>
      </c>
      <c r="BE70" t="s" s="291">
        <f>TRIM(MID(SUBSTITUTE($AW$71,$BA$64,REPT(" ",LEN($AW$71))),($BA70-1)*LEN($AW$71)+1,LEN($AW$71)))</f>
      </c>
      <c r="BF70" t="s" s="291">
        <f>TRIM(MID(SUBSTITUTE($AW$72,$BA$64,REPT(" ",LEN($AW$72))),($BA70-1)*LEN($AW$72)+1,LEN($AW$72)))</f>
      </c>
      <c r="BG70" t="s" s="291">
        <f>TRIM(MID(SUBSTITUTE($AW$73,$BA$64,REPT(" ",LEN($AW$73))),($BA70-1)*LEN($AW$73)+1,LEN($AW$73)))</f>
      </c>
      <c r="BH70" t="s" s="291">
        <f>TRIM(MID(SUBSTITUTE($AW$74,$BA$64,REPT(" ",LEN($AW$74))),($BA70-1)*LEN($AW$74)+1,LEN($AW$74)))</f>
      </c>
      <c r="BI70" t="s" s="291">
        <f>TRIM(MID(SUBSTITUTE($AW$75,$BA$64,REPT(" ",LEN($AW$75))),($BA70-1)*LEN($AW$75)+1,LEN($AW$75)))</f>
      </c>
      <c r="BJ70" t="s" s="291">
        <f>TRIM(MID(SUBSTITUTE($AW$76,$BA$64,REPT(" ",LEN($AW$76))),($BA70-1)*LEN($AW$76)+1,LEN($AW$76)))</f>
      </c>
      <c r="BK70" t="s" s="291">
        <f>TRIM(MID(SUBSTITUTE($AW$77,$BA$64,REPT(" ",LEN($AW$77))),($BA70-1)*LEN($AW$77)+1,LEN($AW$77)))</f>
      </c>
      <c r="BL70" t="s" s="291">
        <f>TRIM(MID(SUBSTITUTE($AW$78,$BA$64,REPT(" ",LEN($AW$78))),($BA70-1)*LEN($AW$78)+1,LEN($AW$78)))</f>
      </c>
      <c r="BM70" t="s" s="291">
        <f>TRIM(MID(SUBSTITUTE($AW$79,$BA$64,REPT(" ",LEN($AW$79))),($BA70-1)*LEN($AW$79)+1,LEN($AW$79)))</f>
      </c>
      <c r="BN70" t="s" s="291">
        <f>TRIM(MID(SUBSTITUTE($AW$80,$BA$64,REPT(" ",LEN($AW$80))),($BA70-1)*LEN($AW$80)+1,LEN($AW$80)))</f>
      </c>
      <c r="BO70" t="s" s="291">
        <f>TRIM(MID(SUBSTITUTE($AW$81,$BA$64,REPT(" ",LEN($AW$81))),($BA70-1)*LEN($AW$81)+1,LEN($AW$81)))</f>
      </c>
      <c r="BP70" t="s" s="291">
        <f>TRIM(MID(SUBSTITUTE($AW$82,$BA$64,REPT(" ",LEN($AW$82))),($BA70-1)*LEN($AW$82)+1,LEN($AW$82)))</f>
      </c>
      <c r="BQ70" t="s" s="291">
        <f>TRIM(MID(SUBSTITUTE($AW$83,$BA$64,REPT(" ",LEN($AW$83))),($BA70-1)*LEN($AW$83)+1,LEN($AW$83)))</f>
      </c>
      <c r="BR70" t="s" s="291">
        <f>TRIM(MID(SUBSTITUTE($AW$84,$BA$64,REPT(" ",LEN($AW$84))),($BA70-1)*LEN($AW$84)+1,LEN($AW$84)))</f>
      </c>
      <c r="BS70" t="s" s="291">
        <f>TRIM(MID(SUBSTITUTE($AW$85,$BA$64,REPT(" ",LEN($AW$85))),($BA70-1)*LEN($AW$85)+1,LEN($AW$85)))</f>
      </c>
      <c r="BT70" t="s" s="291">
        <f>TRIM(MID(SUBSTITUTE($AW$86,$BA$64,REPT(" ",LEN($AW$86))),($BA70-1)*LEN($AW$86)+1,LEN($AW$86)))</f>
      </c>
      <c r="BU70" t="s" s="313">
        <f>TRIM(MID(SUBSTITUTE($AW$87,$BA$64,REPT(" ",LEN($AW$87))),($BA70-1)*LEN($AW$87)+1,LEN($AW$87)))</f>
      </c>
      <c r="BV70" t="s" s="285">
        <f>IF(BX70=0,"",CONCATENATE(BW70,"68:",BW70,BX70+67))</f>
      </c>
      <c r="BW70" t="s" s="291">
        <v>226</v>
      </c>
      <c r="BX70" s="518">
        <f>BD66</f>
        <v>0</v>
      </c>
      <c r="BY70" s="459"/>
      <c r="BZ70" s="161"/>
      <c r="CA70" s="161"/>
      <c r="CB70" s="161"/>
      <c r="CC70" s="161"/>
      <c r="CD70" s="161"/>
      <c r="CE70" s="161"/>
      <c r="CF70" s="161"/>
      <c r="CG70" s="161"/>
      <c r="CH70" s="161"/>
      <c r="CI70" s="161"/>
      <c r="CJ70" s="161"/>
      <c r="CK70" s="161"/>
      <c r="CL70" s="161"/>
      <c r="CM70" s="161"/>
      <c r="CN70" s="161"/>
      <c r="CO70" s="161"/>
      <c r="CP70" s="161"/>
      <c r="CQ70" s="161"/>
      <c r="CR70" s="161"/>
      <c r="CS70" s="161"/>
      <c r="CT70" s="161"/>
      <c r="CU70" s="161"/>
      <c r="CV70" s="161"/>
      <c r="CW70" s="161"/>
      <c r="CX70" s="161"/>
      <c r="CY70" s="161"/>
      <c r="CZ70" s="161"/>
      <c r="DA70" s="161"/>
      <c r="DB70" s="161"/>
      <c r="DC70" s="161"/>
      <c r="DD70" s="161"/>
      <c r="DE70" s="161"/>
      <c r="DF70" s="161"/>
      <c r="DG70" s="161"/>
      <c r="DH70" s="161"/>
      <c r="DI70" s="161"/>
      <c r="DJ70" s="161"/>
      <c r="DK70" s="161"/>
      <c r="DL70" s="161"/>
      <c r="DM70" s="161"/>
      <c r="DN70" s="161"/>
      <c r="DO70" s="161"/>
      <c r="DP70" s="161"/>
      <c r="DQ70" s="161"/>
      <c r="DR70" s="161"/>
      <c r="DS70" s="161"/>
      <c r="DT70" s="161"/>
      <c r="DU70" s="161"/>
      <c r="DV70" s="161"/>
      <c r="DW70" s="161"/>
      <c r="DX70" s="161"/>
    </row>
    <row r="71" ht="15.6" customHeight="1">
      <c r="A71" s="242"/>
      <c r="B71" s="296">
        <v>4</v>
      </c>
      <c r="C71" t="s" s="519">
        <f>IF(D71="","",C14)</f>
      </c>
      <c r="D71" t="s" s="520">
        <f>IF(OR(K14=0,K14=""),"",D14)</f>
      </c>
      <c r="E71" t="s" s="521">
        <f>IF(AX71="","",AX71)</f>
      </c>
      <c r="F71" s="314"/>
      <c r="G71" s="315"/>
      <c r="H71" s="501"/>
      <c r="I71" t="s" s="502">
        <f>IF(OR(K14="",K14=0),"",K14)</f>
      </c>
      <c r="J71" t="s" s="503">
        <f>_xlfn.IFERROR(IF(F71="","",VLOOKUP(F71,'10. Condition and Temporal'!$B$6:$F$103,5,FALSE)),"Error ▲")</f>
      </c>
      <c r="K71" s="504"/>
      <c r="L71" t="s" s="418">
        <f>_xlfn.IFERROR(IF(D71="","",IF(AX71="Distinctiveness",(((((I71*AH71*AJ71)-(I71*V71*X71))*(AV71*AT71))+(I71*V71*X71))*(AP71))/10000,((((I71*AJ71*AH71)-(I71*V71*X71))*(AV71*AR71))+(I71*V71*X71))*AP71/10000)),"Error ▲")</f>
      </c>
      <c r="M71" t="s" s="311">
        <f>_xlfn.IFERROR(IF(F71="","",L71-AD71),"Error ▲")</f>
      </c>
      <c r="N71" s="414"/>
      <c r="O71" s="415"/>
      <c r="P71" s="315"/>
      <c r="Q71" s="380"/>
      <c r="R71" s="219"/>
      <c r="S71" s="381"/>
      <c r="T71" t="s" s="295">
        <f>IF(D71="","",K14)</f>
      </c>
      <c r="U71" t="s" s="285">
        <f>IF($D71="","",T14)</f>
      </c>
      <c r="V71" t="s" s="313">
        <f>IF($D71="","",V14)</f>
      </c>
      <c r="W71" t="s" s="285">
        <f>IF($D71="","",W14)</f>
      </c>
      <c r="X71" t="s" s="313">
        <f>IF($D71="","",X14)</f>
      </c>
      <c r="Y71" s="510"/>
      <c r="Z71" s="511"/>
      <c r="AA71" s="512"/>
      <c r="AB71" t="s" s="285">
        <f>IF($D71="","",AB14)</f>
      </c>
      <c r="AC71" t="s" s="313">
        <f>IF($D71="","",AD14)</f>
      </c>
      <c r="AD71" t="s" s="295">
        <f>IF(AC71="","",(T71*V71*X71)*AC71/10000)</f>
      </c>
      <c r="AE71" t="s" s="295">
        <f>IF(AD71="","",IF(AH71&lt;V71,"Not Acceptable","Acceptable"))</f>
      </c>
      <c r="AF71" t="s" s="295">
        <f>IF(D71="","",I71)</f>
      </c>
      <c r="AG71" t="s" s="285">
        <f>IF(D71="","",VLOOKUP(F71,'9. All Habitats + Multipliers'!$C$4:$K$102,5,FALSE))</f>
      </c>
      <c r="AH71" t="s" s="313">
        <f>IF(AG71="","",VLOOKUP(AG71,'11. Lists'!$B$47:$D$49,2,FALSE))</f>
      </c>
      <c r="AI71" t="s" s="285">
        <f>IF(D71="","",J71)</f>
      </c>
      <c r="AJ71" t="s" s="313">
        <f>IF(AI71="","",VLOOKUP(AI71,'11. Lists'!$F$47:$G$51,2,FALSE))</f>
      </c>
      <c r="AK71" s="510"/>
      <c r="AL71" s="511"/>
      <c r="AM71" s="512"/>
      <c r="AN71" t="s" s="285">
        <f>IF(H71="","",H71)</f>
      </c>
      <c r="AO71" t="s" s="291">
        <f>IF(AN71="","",VLOOKUP(AN71,'11. Lists'!$F$36:$H$38,2,FALSE))</f>
      </c>
      <c r="AP71" t="s" s="313">
        <f>IF(AN71="","",VLOOKUP(AN71,'11. Lists'!$F$36:$H$38,3,FALSE))</f>
      </c>
      <c r="AQ71" t="s" s="285">
        <f>IF(D71="","",IF(AX71="Distinctiveness","N/A",VLOOKUP(F71,'10. Condition and Temporal'!$B$6:$L$103,11,FALSE)))</f>
      </c>
      <c r="AR71" t="s" s="313">
        <f>IF(AQ71="","",IF(AQ71="N/A","1",VLOOKUP(AQ71,'11. Lists'!$I$47:$K$80,3,FALSE)))</f>
      </c>
      <c r="AS71" t="s" s="285">
        <f>IF(D71="","",IF(AX71="Condition","N/A",VLOOKUP(F71,'10. Condition and Temporal'!$B$6:$M$106,12,FALSE)))</f>
      </c>
      <c r="AT71" t="s" s="313">
        <f>IF(AS71="","",IF(AS71="N/A","1",VLOOKUP(AS71,'11. Lists'!$I$47:$K$80,3,FALSE)))</f>
      </c>
      <c r="AU71" t="s" s="285">
        <f>IF(D71="","",VLOOKUP(F71,'9. All Habitats + Multipliers'!$C$4:$K$102,8,FALSE))</f>
      </c>
      <c r="AV71" t="s" s="313">
        <f>IF(AU71="","",VLOOKUP(AU71,'11. Lists'!$J$35:$K$38,2,FALSE))</f>
      </c>
      <c r="AW71" t="s" s="295">
        <f>IF(D71="","",VLOOKUP(D71,'10. Condition and Temporal'!$B$6:$M$103,4,FALSE))</f>
      </c>
      <c r="AX71" t="s" s="295">
        <f>IF(F71="","",IF(D71=F71,"Condition","Distinctiveness"))</f>
      </c>
      <c r="AY71" t="s" s="522">
        <f>IF(COUNTIF(F71,"*grassland*"),"Grassland",IF(COUNTIF(F71,"*scree*"),"Sparsely vegetated land",C71))</f>
      </c>
      <c r="AZ71" s="472"/>
      <c r="BA71" s="401">
        <v>4</v>
      </c>
      <c r="BB71" t="s" s="291">
        <f>TRIM(MID(SUBSTITUTE($AW$68,$BA$64,REPT(" ",LEN($AW$68))),($BA71-1)*LEN($AW$68)+1,LEN($AW$68)))</f>
      </c>
      <c r="BC71" t="s" s="291">
        <f>TRIM(MID(SUBSTITUTE($AW$69,$BA$64,REPT(" ",LEN($AW$69))),($BA71-1)*LEN($AW$69)+1,LEN($AW$69)))</f>
      </c>
      <c r="BD71" t="s" s="291">
        <f>TRIM(MID(SUBSTITUTE($AW$70,$BA$64,REPT(" ",LEN($AW$70))),($BA71-1)*LEN($AW$70)+1,LEN($AW$70)))</f>
      </c>
      <c r="BE71" t="s" s="291">
        <f>TRIM(MID(SUBSTITUTE($AW$71,$BA$64,REPT(" ",LEN($AW$71))),($BA71-1)*LEN($AW$71)+1,LEN($AW$71)))</f>
      </c>
      <c r="BF71" t="s" s="291">
        <f>TRIM(MID(SUBSTITUTE($AW$72,$BA$64,REPT(" ",LEN($AW$72))),($BA71-1)*LEN($AW$72)+1,LEN($AW$72)))</f>
      </c>
      <c r="BG71" t="s" s="291">
        <f>TRIM(MID(SUBSTITUTE($AW$73,$BA$64,REPT(" ",LEN($AW$73))),($BA71-1)*LEN($AW$73)+1,LEN($AW$73)))</f>
      </c>
      <c r="BH71" t="s" s="291">
        <f>TRIM(MID(SUBSTITUTE($AW$74,$BA$64,REPT(" ",LEN($AW$74))),($BA71-1)*LEN($AW$74)+1,LEN($AW$74)))</f>
      </c>
      <c r="BI71" t="s" s="291">
        <f>TRIM(MID(SUBSTITUTE($AW$75,$BA$64,REPT(" ",LEN($AW$75))),($BA71-1)*LEN($AW$75)+1,LEN($AW$75)))</f>
      </c>
      <c r="BJ71" t="s" s="291">
        <f>TRIM(MID(SUBSTITUTE($AW$76,$BA$64,REPT(" ",LEN($AW$76))),($BA71-1)*LEN($AW$76)+1,LEN($AW$76)))</f>
      </c>
      <c r="BK71" t="s" s="291">
        <f>TRIM(MID(SUBSTITUTE($AW$77,$BA$64,REPT(" ",LEN($AW$77))),($BA71-1)*LEN($AW$77)+1,LEN($AW$77)))</f>
      </c>
      <c r="BL71" t="s" s="291">
        <f>TRIM(MID(SUBSTITUTE($AW$78,$BA$64,REPT(" ",LEN($AW$78))),($BA71-1)*LEN($AW$78)+1,LEN($AW$78)))</f>
      </c>
      <c r="BM71" t="s" s="291">
        <f>TRIM(MID(SUBSTITUTE($AW$79,$BA$64,REPT(" ",LEN($AW$79))),($BA71-1)*LEN($AW$79)+1,LEN($AW$79)))</f>
      </c>
      <c r="BN71" t="s" s="291">
        <f>TRIM(MID(SUBSTITUTE($AW$80,$BA$64,REPT(" ",LEN($AW$80))),($BA71-1)*LEN($AW$80)+1,LEN($AW$80)))</f>
      </c>
      <c r="BO71" t="s" s="291">
        <f>TRIM(MID(SUBSTITUTE($AW$81,$BA$64,REPT(" ",LEN($AW$81))),($BA71-1)*LEN($AW$81)+1,LEN($AW$81)))</f>
      </c>
      <c r="BP71" t="s" s="291">
        <f>TRIM(MID(SUBSTITUTE($AW$82,$BA$64,REPT(" ",LEN($AW$82))),($BA71-1)*LEN($AW$82)+1,LEN($AW$82)))</f>
      </c>
      <c r="BQ71" t="s" s="291">
        <f>TRIM(MID(SUBSTITUTE($AW$83,$BA$64,REPT(" ",LEN($AW$83))),($BA71-1)*LEN($AW$83)+1,LEN($AW$83)))</f>
      </c>
      <c r="BR71" t="s" s="291">
        <f>TRIM(MID(SUBSTITUTE($AW$84,$BA$64,REPT(" ",LEN($AW$84))),($BA71-1)*LEN($AW$84)+1,LEN($AW$84)))</f>
      </c>
      <c r="BS71" t="s" s="291">
        <f>TRIM(MID(SUBSTITUTE($AW$85,$BA$64,REPT(" ",LEN($AW$85))),($BA71-1)*LEN($AW$85)+1,LEN($AW$85)))</f>
      </c>
      <c r="BT71" t="s" s="291">
        <f>TRIM(MID(SUBSTITUTE($AW$86,$BA$64,REPT(" ",LEN($AW$86))),($BA71-1)*LEN($AW$86)+1,LEN($AW$86)))</f>
      </c>
      <c r="BU71" t="s" s="313">
        <f>TRIM(MID(SUBSTITUTE($AW$87,$BA$64,REPT(" ",LEN($AW$87))),($BA71-1)*LEN($AW$87)+1,LEN($AW$87)))</f>
      </c>
      <c r="BV71" t="s" s="285">
        <f>IF(BX71=0,"",CONCATENATE(BW71,"68:",BW71,BX71+67))</f>
      </c>
      <c r="BW71" t="s" s="291">
        <v>227</v>
      </c>
      <c r="BX71" s="518">
        <f>BE66</f>
        <v>0</v>
      </c>
      <c r="BY71" s="459"/>
      <c r="BZ71" s="161"/>
      <c r="CA71" s="161"/>
      <c r="CB71" s="161"/>
      <c r="CC71" s="161"/>
      <c r="CD71" s="161"/>
      <c r="CE71" s="161"/>
      <c r="CF71" s="161"/>
      <c r="CG71" s="161"/>
      <c r="CH71" s="161"/>
      <c r="CI71" s="161"/>
      <c r="CJ71" s="161"/>
      <c r="CK71" s="161"/>
      <c r="CL71" s="161"/>
      <c r="CM71" s="161"/>
      <c r="CN71" s="161"/>
      <c r="CO71" s="161"/>
      <c r="CP71" s="161"/>
      <c r="CQ71" s="161"/>
      <c r="CR71" s="161"/>
      <c r="CS71" s="161"/>
      <c r="CT71" s="161"/>
      <c r="CU71" s="161"/>
      <c r="CV71" s="161"/>
      <c r="CW71" s="161"/>
      <c r="CX71" s="161"/>
      <c r="CY71" s="161"/>
      <c r="CZ71" s="161"/>
      <c r="DA71" s="161"/>
      <c r="DB71" s="161"/>
      <c r="DC71" s="161"/>
      <c r="DD71" s="161"/>
      <c r="DE71" s="161"/>
      <c r="DF71" s="161"/>
      <c r="DG71" s="161"/>
      <c r="DH71" s="161"/>
      <c r="DI71" s="161"/>
      <c r="DJ71" s="161"/>
      <c r="DK71" s="161"/>
      <c r="DL71" s="161"/>
      <c r="DM71" s="161"/>
      <c r="DN71" s="161"/>
      <c r="DO71" s="161"/>
      <c r="DP71" s="161"/>
      <c r="DQ71" s="161"/>
      <c r="DR71" s="161"/>
      <c r="DS71" s="161"/>
      <c r="DT71" s="161"/>
      <c r="DU71" s="161"/>
      <c r="DV71" s="161"/>
      <c r="DW71" s="161"/>
      <c r="DX71" s="161"/>
    </row>
    <row r="72" ht="15.6" customHeight="1">
      <c r="A72" s="242"/>
      <c r="B72" s="296">
        <v>5</v>
      </c>
      <c r="C72" t="s" s="519">
        <f>IF(D72="","",C15)</f>
      </c>
      <c r="D72" t="s" s="520">
        <f>IF(OR(K15=0,K15=""),"",D15)</f>
      </c>
      <c r="E72" t="s" s="521">
        <f>IF(AX72="","",AX72)</f>
      </c>
      <c r="F72" s="314"/>
      <c r="G72" s="315"/>
      <c r="H72" s="501"/>
      <c r="I72" t="s" s="502">
        <f>IF(OR(K15="",K15=0),"",K15)</f>
      </c>
      <c r="J72" t="s" s="503">
        <f>_xlfn.IFERROR(IF(F72="","",VLOOKUP(F72,'10. Condition and Temporal'!$B$6:$F$103,5,FALSE)),"Error ▲")</f>
      </c>
      <c r="K72" s="504"/>
      <c r="L72" t="s" s="418">
        <f>_xlfn.IFERROR(IF(D72="","",IF(AX72="Distinctiveness",(((((I72*AH72*AJ72)-(I72*V72*X72))*(AV72*AT72))+(I72*V72*X72))*(AP72))/10000,((((I72*AJ72*AH72)-(I72*V72*X72))*(AV72*AR72))+(I72*V72*X72))*AP72/10000)),"Error ▲")</f>
      </c>
      <c r="M72" t="s" s="311">
        <f>_xlfn.IFERROR(IF(F72="","",L72-AD72),"Error ▲")</f>
      </c>
      <c r="N72" s="414"/>
      <c r="O72" s="415"/>
      <c r="P72" s="315"/>
      <c r="Q72" s="380"/>
      <c r="R72" s="219"/>
      <c r="S72" s="381"/>
      <c r="T72" t="s" s="295">
        <f>IF(D72="","",K15)</f>
      </c>
      <c r="U72" t="s" s="285">
        <f>IF($D72="","",T15)</f>
      </c>
      <c r="V72" t="s" s="313">
        <f>IF($D72="","",V15)</f>
      </c>
      <c r="W72" t="s" s="285">
        <f>IF($D72="","",W15)</f>
      </c>
      <c r="X72" t="s" s="313">
        <f>IF($D72="","",X15)</f>
      </c>
      <c r="Y72" s="510"/>
      <c r="Z72" s="511"/>
      <c r="AA72" s="512"/>
      <c r="AB72" t="s" s="285">
        <f>IF($D72="","",AB15)</f>
      </c>
      <c r="AC72" t="s" s="313">
        <f>IF($D72="","",AD15)</f>
      </c>
      <c r="AD72" t="s" s="295">
        <f>IF(AC72="","",(T72*V72*X72)*AC72/10000)</f>
      </c>
      <c r="AE72" t="s" s="295">
        <f>IF(AD72="","",IF(AH72&lt;V72,"Not Acceptable","Acceptable"))</f>
      </c>
      <c r="AF72" t="s" s="295">
        <f>IF(D72="","",I72)</f>
      </c>
      <c r="AG72" t="s" s="285">
        <f>IF(D72="","",VLOOKUP(F72,'9. All Habitats + Multipliers'!$C$4:$K$102,5,FALSE))</f>
      </c>
      <c r="AH72" t="s" s="313">
        <f>IF(AG72="","",VLOOKUP(AG72,'11. Lists'!$B$47:$D$49,2,FALSE))</f>
      </c>
      <c r="AI72" t="s" s="285">
        <f>IF(D72="","",J72)</f>
      </c>
      <c r="AJ72" t="s" s="313">
        <f>IF(AI72="","",VLOOKUP(AI72,'11. Lists'!$F$47:$G$51,2,FALSE))</f>
      </c>
      <c r="AK72" s="510"/>
      <c r="AL72" s="511"/>
      <c r="AM72" s="512"/>
      <c r="AN72" t="s" s="285">
        <f>IF(H72="","",H72)</f>
      </c>
      <c r="AO72" t="s" s="291">
        <f>IF(AN72="","",VLOOKUP(AN72,'11. Lists'!$F$36:$H$38,2,FALSE))</f>
      </c>
      <c r="AP72" t="s" s="313">
        <f>IF(AN72="","",VLOOKUP(AN72,'11. Lists'!$F$36:$H$38,3,FALSE))</f>
      </c>
      <c r="AQ72" t="s" s="285">
        <f>IF(D72="","",IF(AX72="Distinctiveness","N/A",VLOOKUP(F72,'10. Condition and Temporal'!$B$6:$L$103,11,FALSE)))</f>
      </c>
      <c r="AR72" t="s" s="313">
        <f>IF(AQ72="","",IF(AQ72="N/A","1",VLOOKUP(AQ72,'11. Lists'!$I$47:$K$80,3,FALSE)))</f>
      </c>
      <c r="AS72" t="s" s="285">
        <f>IF(D72="","",IF(AX72="Condition","N/A",VLOOKUP(F72,'10. Condition and Temporal'!$B$6:$M$106,12,FALSE)))</f>
      </c>
      <c r="AT72" t="s" s="313">
        <f>IF(AS72="","",IF(AS72="N/A","1",VLOOKUP(AS72,'11. Lists'!$I$47:$K$80,3,FALSE)))</f>
      </c>
      <c r="AU72" t="s" s="285">
        <f>IF(D72="","",VLOOKUP(F72,'9. All Habitats + Multipliers'!$C$4:$K$102,8,FALSE))</f>
      </c>
      <c r="AV72" t="s" s="313">
        <f>IF(AU72="","",VLOOKUP(AU72,'11. Lists'!$J$35:$K$38,2,FALSE))</f>
      </c>
      <c r="AW72" t="s" s="295">
        <f>IF(D72="","",VLOOKUP(D72,'10. Condition and Temporal'!$B$6:$M$103,4,FALSE))</f>
      </c>
      <c r="AX72" t="s" s="295">
        <f>IF(F72="","",IF(D72=F72,"Condition","Distinctiveness"))</f>
      </c>
      <c r="AY72" t="s" s="522">
        <f>IF(COUNTIF(F72,"*grassland*"),"Grassland",IF(COUNTIF(F72,"*scree*"),"Sparsely vegetated land",C72))</f>
      </c>
      <c r="AZ72" s="472"/>
      <c r="BA72" s="401">
        <v>5</v>
      </c>
      <c r="BB72" t="s" s="291">
        <f>TRIM(MID(SUBSTITUTE($AW$68,$BA$64,REPT(" ",LEN($AW$68))),($BA72-1)*LEN($AW$68)+1,LEN($AW$68)))</f>
      </c>
      <c r="BC72" t="s" s="291">
        <f>TRIM(MID(SUBSTITUTE($AW$69,$BA$64,REPT(" ",LEN($AW$69))),($BA72-1)*LEN($AW$69)+1,LEN($AW$69)))</f>
      </c>
      <c r="BD72" t="s" s="291">
        <f>TRIM(MID(SUBSTITUTE($AW$70,$BA$64,REPT(" ",LEN($AW$70))),($BA72-1)*LEN($AW$70)+1,LEN($AW$70)))</f>
      </c>
      <c r="BE72" t="s" s="291">
        <f>TRIM(MID(SUBSTITUTE($AW$71,$BA$64,REPT(" ",LEN($AW$71))),($BA72-1)*LEN($AW$71)+1,LEN($AW$71)))</f>
      </c>
      <c r="BF72" t="s" s="291">
        <f>TRIM(MID(SUBSTITUTE($AW$72,$BA$64,REPT(" ",LEN($AW$72))),($BA72-1)*LEN($AW$72)+1,LEN($AW$72)))</f>
      </c>
      <c r="BG72" t="s" s="291">
        <f>TRIM(MID(SUBSTITUTE($AW$73,$BA$64,REPT(" ",LEN($AW$73))),($BA72-1)*LEN($AW$73)+1,LEN($AW$73)))</f>
      </c>
      <c r="BH72" t="s" s="291">
        <f>TRIM(MID(SUBSTITUTE($AW$74,$BA$64,REPT(" ",LEN($AW$74))),($BA72-1)*LEN($AW$74)+1,LEN($AW$74)))</f>
      </c>
      <c r="BI72" t="s" s="291">
        <f>TRIM(MID(SUBSTITUTE($AW$75,$BA$64,REPT(" ",LEN($AW$75))),($BA72-1)*LEN($AW$75)+1,LEN($AW$75)))</f>
      </c>
      <c r="BJ72" t="s" s="291">
        <f>TRIM(MID(SUBSTITUTE($AW$76,$BA$64,REPT(" ",LEN($AW$76))),($BA72-1)*LEN($AW$76)+1,LEN($AW$76)))</f>
      </c>
      <c r="BK72" t="s" s="291">
        <f>TRIM(MID(SUBSTITUTE($AW$77,$BA$64,REPT(" ",LEN($AW$77))),($BA72-1)*LEN($AW$77)+1,LEN($AW$77)))</f>
      </c>
      <c r="BL72" t="s" s="291">
        <f>TRIM(MID(SUBSTITUTE($AW$78,$BA$64,REPT(" ",LEN($AW$78))),($BA72-1)*LEN($AW$78)+1,LEN($AW$78)))</f>
      </c>
      <c r="BM72" t="s" s="291">
        <f>TRIM(MID(SUBSTITUTE($AW$79,$BA$64,REPT(" ",LEN($AW$79))),($BA72-1)*LEN($AW$79)+1,LEN($AW$79)))</f>
      </c>
      <c r="BN72" t="s" s="291">
        <f>TRIM(MID(SUBSTITUTE($AW$80,$BA$64,REPT(" ",LEN($AW$80))),($BA72-1)*LEN($AW$80)+1,LEN($AW$80)))</f>
      </c>
      <c r="BO72" t="s" s="291">
        <f>TRIM(MID(SUBSTITUTE($AW$81,$BA$64,REPT(" ",LEN($AW$81))),($BA72-1)*LEN($AW$81)+1,LEN($AW$81)))</f>
      </c>
      <c r="BP72" t="s" s="291">
        <f>TRIM(MID(SUBSTITUTE($AW$82,$BA$64,REPT(" ",LEN($AW$82))),($BA72-1)*LEN($AW$82)+1,LEN($AW$82)))</f>
      </c>
      <c r="BQ72" t="s" s="291">
        <f>TRIM(MID(SUBSTITUTE($AW$83,$BA$64,REPT(" ",LEN($AW$83))),($BA72-1)*LEN($AW$83)+1,LEN($AW$83)))</f>
      </c>
      <c r="BR72" t="s" s="291">
        <f>TRIM(MID(SUBSTITUTE($AW$84,$BA$64,REPT(" ",LEN($AW$84))),($BA72-1)*LEN($AW$84)+1,LEN($AW$84)))</f>
      </c>
      <c r="BS72" t="s" s="291">
        <f>TRIM(MID(SUBSTITUTE($AW$85,$BA$64,REPT(" ",LEN($AW$85))),($BA72-1)*LEN($AW$85)+1,LEN($AW$85)))</f>
      </c>
      <c r="BT72" t="s" s="291">
        <f>TRIM(MID(SUBSTITUTE($AW$86,$BA$64,REPT(" ",LEN($AW$86))),($BA72-1)*LEN($AW$86)+1,LEN($AW$86)))</f>
      </c>
      <c r="BU72" t="s" s="313">
        <f>TRIM(MID(SUBSTITUTE($AW$87,$BA$64,REPT(" ",LEN($AW$87))),($BA72-1)*LEN($AW$87)+1,LEN($AW$87)))</f>
      </c>
      <c r="BV72" t="s" s="285">
        <f>IF(BX72=0,"",CONCATENATE(BW72,"68:",BW72,BX72+67))</f>
      </c>
      <c r="BW72" t="s" s="291">
        <v>228</v>
      </c>
      <c r="BX72" s="518">
        <f>BF66</f>
        <v>0</v>
      </c>
      <c r="BY72" s="459"/>
      <c r="BZ72" s="161"/>
      <c r="CA72" s="161"/>
      <c r="CB72" s="161"/>
      <c r="CC72" s="161"/>
      <c r="CD72" s="161"/>
      <c r="CE72" s="161"/>
      <c r="CF72" s="161"/>
      <c r="CG72" s="161"/>
      <c r="CH72" s="161"/>
      <c r="CI72" s="161"/>
      <c r="CJ72" s="161"/>
      <c r="CK72" s="161"/>
      <c r="CL72" s="161"/>
      <c r="CM72" s="161"/>
      <c r="CN72" s="161"/>
      <c r="CO72" s="161"/>
      <c r="CP72" s="161"/>
      <c r="CQ72" s="161"/>
      <c r="CR72" s="161"/>
      <c r="CS72" s="161"/>
      <c r="CT72" s="161"/>
      <c r="CU72" s="161"/>
      <c r="CV72" s="161"/>
      <c r="CW72" s="161"/>
      <c r="CX72" s="161"/>
      <c r="CY72" s="161"/>
      <c r="CZ72" s="161"/>
      <c r="DA72" s="161"/>
      <c r="DB72" s="161"/>
      <c r="DC72" s="161"/>
      <c r="DD72" s="161"/>
      <c r="DE72" s="161"/>
      <c r="DF72" s="161"/>
      <c r="DG72" s="161"/>
      <c r="DH72" s="161"/>
      <c r="DI72" s="161"/>
      <c r="DJ72" s="161"/>
      <c r="DK72" s="161"/>
      <c r="DL72" s="161"/>
      <c r="DM72" s="161"/>
      <c r="DN72" s="161"/>
      <c r="DO72" s="161"/>
      <c r="DP72" s="161"/>
      <c r="DQ72" s="161"/>
      <c r="DR72" s="161"/>
      <c r="DS72" s="161"/>
      <c r="DT72" s="161"/>
      <c r="DU72" s="161"/>
      <c r="DV72" s="161"/>
      <c r="DW72" s="161"/>
      <c r="DX72" s="161"/>
    </row>
    <row r="73" ht="15.6" customHeight="1">
      <c r="A73" s="242"/>
      <c r="B73" s="296">
        <v>6</v>
      </c>
      <c r="C73" t="s" s="519">
        <f>IF(D73="","",C16)</f>
      </c>
      <c r="D73" t="s" s="520">
        <f>IF(OR(K16=0,K16=""),"",D16)</f>
      </c>
      <c r="E73" t="s" s="521">
        <f>IF(AX73="","",AX73)</f>
      </c>
      <c r="F73" s="314"/>
      <c r="G73" s="315"/>
      <c r="H73" s="501"/>
      <c r="I73" t="s" s="502">
        <f>IF(OR(K16="",K16=0),"",K16)</f>
      </c>
      <c r="J73" t="s" s="503">
        <f>_xlfn.IFERROR(IF(F73="","",VLOOKUP(F73,'10. Condition and Temporal'!$B$6:$F$103,5,FALSE)),"Error ▲")</f>
      </c>
      <c r="K73" s="504"/>
      <c r="L73" t="s" s="418">
        <f>_xlfn.IFERROR(IF(D73="","",IF(AX73="Distinctiveness",(((((I73*AH73*AJ73)-(I73*V73*X73))*(AV73*AT73))+(I73*V73*X73))*(AP73))/10000,((((I73*AJ73*AH73)-(I73*V73*X73))*(AV73*AR73))+(I73*V73*X73))*AP73/10000)),"Error ▲")</f>
      </c>
      <c r="M73" t="s" s="311">
        <f>_xlfn.IFERROR(IF(F73="","",L73-AD73),"Error ▲")</f>
      </c>
      <c r="N73" s="414"/>
      <c r="O73" s="415"/>
      <c r="P73" s="315"/>
      <c r="Q73" s="380"/>
      <c r="R73" s="219"/>
      <c r="S73" s="381"/>
      <c r="T73" t="s" s="295">
        <f>IF(D73="","",K16)</f>
      </c>
      <c r="U73" t="s" s="285">
        <f>IF($D73="","",T16)</f>
      </c>
      <c r="V73" t="s" s="313">
        <f>IF($D73="","",V16)</f>
      </c>
      <c r="W73" t="s" s="285">
        <f>IF($D73="","",W16)</f>
      </c>
      <c r="X73" t="s" s="313">
        <f>IF($D73="","",X16)</f>
      </c>
      <c r="Y73" s="510"/>
      <c r="Z73" s="511"/>
      <c r="AA73" s="512"/>
      <c r="AB73" t="s" s="285">
        <f>IF($D73="","",AB16)</f>
      </c>
      <c r="AC73" t="s" s="313">
        <f>IF($D73="","",AD16)</f>
      </c>
      <c r="AD73" t="s" s="295">
        <f>IF(AC73="","",(T73*V73*X73)*AC73/10000)</f>
      </c>
      <c r="AE73" t="s" s="295">
        <f>IF(AD73="","",IF(AH73&lt;V73,"Not Acceptable","Acceptable"))</f>
      </c>
      <c r="AF73" t="s" s="295">
        <f>IF(D73="","",I73)</f>
      </c>
      <c r="AG73" t="s" s="285">
        <f>IF(D73="","",VLOOKUP(F73,'9. All Habitats + Multipliers'!$C$4:$K$102,5,FALSE))</f>
      </c>
      <c r="AH73" t="s" s="313">
        <f>IF(AG73="","",VLOOKUP(AG73,'11. Lists'!$B$47:$D$49,2,FALSE))</f>
      </c>
      <c r="AI73" t="s" s="285">
        <f>IF(D73="","",J73)</f>
      </c>
      <c r="AJ73" t="s" s="313">
        <f>IF(AI73="","",VLOOKUP(AI73,'11. Lists'!$F$47:$G$51,2,FALSE))</f>
      </c>
      <c r="AK73" s="510"/>
      <c r="AL73" s="511"/>
      <c r="AM73" s="512"/>
      <c r="AN73" t="s" s="285">
        <f>IF(H73="","",H73)</f>
      </c>
      <c r="AO73" t="s" s="291">
        <f>IF(AN73="","",VLOOKUP(AN73,'11. Lists'!$F$36:$H$38,2,FALSE))</f>
      </c>
      <c r="AP73" t="s" s="313">
        <f>IF(AN73="","",VLOOKUP(AN73,'11. Lists'!$F$36:$H$38,3,FALSE))</f>
      </c>
      <c r="AQ73" t="s" s="285">
        <f>IF(D73="","",IF(AX73="Distinctiveness","N/A",VLOOKUP(F73,'10. Condition and Temporal'!$B$6:$L$103,11,FALSE)))</f>
      </c>
      <c r="AR73" t="s" s="313">
        <f>IF(AQ73="","",IF(AQ73="N/A","1",VLOOKUP(AQ73,'11. Lists'!$I$47:$K$80,3,FALSE)))</f>
      </c>
      <c r="AS73" t="s" s="285">
        <f>IF(D73="","",IF(AX73="Condition","N/A",VLOOKUP(F73,'10. Condition and Temporal'!$B$6:$M$106,12,FALSE)))</f>
      </c>
      <c r="AT73" t="s" s="313">
        <f>IF(AS73="","",IF(AS73="N/A","1",VLOOKUP(AS73,'11. Lists'!$I$47:$K$80,3,FALSE)))</f>
      </c>
      <c r="AU73" t="s" s="285">
        <f>IF(D73="","",VLOOKUP(F73,'9. All Habitats + Multipliers'!$C$4:$K$102,8,FALSE))</f>
      </c>
      <c r="AV73" t="s" s="313">
        <f>IF(AU73="","",VLOOKUP(AU73,'11. Lists'!$J$35:$K$38,2,FALSE))</f>
      </c>
      <c r="AW73" t="s" s="295">
        <f>IF(D73="","",VLOOKUP(D73,'10. Condition and Temporal'!$B$6:$M$103,4,FALSE))</f>
      </c>
      <c r="AX73" t="s" s="295">
        <f>IF(F73="","",IF(D73=F73,"Condition","Distinctiveness"))</f>
      </c>
      <c r="AY73" t="s" s="522">
        <f>IF(COUNTIF(F73,"*grassland*"),"Grassland",IF(COUNTIF(F73,"*scree*"),"Sparsely vegetated land",C73))</f>
      </c>
      <c r="AZ73" s="472"/>
      <c r="BA73" s="401">
        <v>6</v>
      </c>
      <c r="BB73" t="s" s="291">
        <f>TRIM(MID(SUBSTITUTE($AW$68,$BA$64,REPT(" ",LEN($AW$68))),($BA73-1)*LEN($AW$68)+1,LEN($AW$68)))</f>
      </c>
      <c r="BC73" t="s" s="291">
        <f>TRIM(MID(SUBSTITUTE($AW$69,$BA$64,REPT(" ",LEN($AW$69))),($BA73-1)*LEN($AW$69)+1,LEN($AW$69)))</f>
      </c>
      <c r="BD73" t="s" s="291">
        <f>TRIM(MID(SUBSTITUTE($AW$70,$BA$64,REPT(" ",LEN($AW$70))),($BA73-1)*LEN($AW$70)+1,LEN($AW$70)))</f>
      </c>
      <c r="BE73" t="s" s="291">
        <f>TRIM(MID(SUBSTITUTE($AW$71,$BA$64,REPT(" ",LEN($AW$71))),($BA73-1)*LEN($AW$71)+1,LEN($AW$71)))</f>
      </c>
      <c r="BF73" t="s" s="291">
        <f>TRIM(MID(SUBSTITUTE($AW$72,$BA$64,REPT(" ",LEN($AW$72))),($BA73-1)*LEN($AW$72)+1,LEN($AW$72)))</f>
      </c>
      <c r="BG73" t="s" s="291">
        <f>TRIM(MID(SUBSTITUTE($AW$73,$BA$64,REPT(" ",LEN($AW$73))),($BA73-1)*LEN($AW$73)+1,LEN($AW$73)))</f>
      </c>
      <c r="BH73" t="s" s="291">
        <f>TRIM(MID(SUBSTITUTE($AW$74,$BA$64,REPT(" ",LEN($AW$74))),($BA73-1)*LEN($AW$74)+1,LEN($AW$74)))</f>
      </c>
      <c r="BI73" t="s" s="291">
        <f>TRIM(MID(SUBSTITUTE($AW$75,$BA$64,REPT(" ",LEN($AW$75))),($BA73-1)*LEN($AW$75)+1,LEN($AW$75)))</f>
      </c>
      <c r="BJ73" t="s" s="291">
        <f>TRIM(MID(SUBSTITUTE($AW$76,$BA$64,REPT(" ",LEN($AW$76))),($BA73-1)*LEN($AW$76)+1,LEN($AW$76)))</f>
      </c>
      <c r="BK73" t="s" s="291">
        <f>TRIM(MID(SUBSTITUTE($AW$77,$BA$64,REPT(" ",LEN($AW$77))),($BA73-1)*LEN($AW$77)+1,LEN($AW$77)))</f>
      </c>
      <c r="BL73" t="s" s="291">
        <f>TRIM(MID(SUBSTITUTE($AW$78,$BA$64,REPT(" ",LEN($AW$78))),($BA73-1)*LEN($AW$78)+1,LEN($AW$78)))</f>
      </c>
      <c r="BM73" t="s" s="291">
        <f>TRIM(MID(SUBSTITUTE($AW$79,$BA$64,REPT(" ",LEN($AW$79))),($BA73-1)*LEN($AW$79)+1,LEN($AW$79)))</f>
      </c>
      <c r="BN73" t="s" s="291">
        <f>TRIM(MID(SUBSTITUTE($AW$80,$BA$64,REPT(" ",LEN($AW$80))),($BA73-1)*LEN($AW$80)+1,LEN($AW$80)))</f>
      </c>
      <c r="BO73" t="s" s="291">
        <f>TRIM(MID(SUBSTITUTE($AW$81,$BA$64,REPT(" ",LEN($AW$81))),($BA73-1)*LEN($AW$81)+1,LEN($AW$81)))</f>
      </c>
      <c r="BP73" t="s" s="291">
        <f>TRIM(MID(SUBSTITUTE($AW$82,$BA$64,REPT(" ",LEN($AW$82))),($BA73-1)*LEN($AW$82)+1,LEN($AW$82)))</f>
      </c>
      <c r="BQ73" t="s" s="291">
        <f>TRIM(MID(SUBSTITUTE($AW$83,$BA$64,REPT(" ",LEN($AW$83))),($BA73-1)*LEN($AW$83)+1,LEN($AW$83)))</f>
      </c>
      <c r="BR73" t="s" s="291">
        <f>TRIM(MID(SUBSTITUTE($AW$84,$BA$64,REPT(" ",LEN($AW$84))),($BA73-1)*LEN($AW$84)+1,LEN($AW$84)))</f>
      </c>
      <c r="BS73" t="s" s="291">
        <f>TRIM(MID(SUBSTITUTE($AW$85,$BA$64,REPT(" ",LEN($AW$85))),($BA73-1)*LEN($AW$85)+1,LEN($AW$85)))</f>
      </c>
      <c r="BT73" t="s" s="291">
        <f>TRIM(MID(SUBSTITUTE($AW$86,$BA$64,REPT(" ",LEN($AW$86))),($BA73-1)*LEN($AW$86)+1,LEN($AW$86)))</f>
      </c>
      <c r="BU73" t="s" s="313">
        <f>TRIM(MID(SUBSTITUTE($AW$87,$BA$64,REPT(" ",LEN($AW$87))),($BA73-1)*LEN($AW$87)+1,LEN($AW$87)))</f>
      </c>
      <c r="BV73" t="s" s="285">
        <f>IF(BX73=0,"",CONCATENATE(BW73,"68:",BW73,BX73+67))</f>
      </c>
      <c r="BW73" t="s" s="291">
        <v>229</v>
      </c>
      <c r="BX73" s="518">
        <f>BG66</f>
        <v>0</v>
      </c>
      <c r="BY73" s="459"/>
      <c r="BZ73" s="161"/>
      <c r="CA73" s="161"/>
      <c r="CB73" s="161"/>
      <c r="CC73" s="161"/>
      <c r="CD73" s="161"/>
      <c r="CE73" s="161"/>
      <c r="CF73" s="161"/>
      <c r="CG73" s="161"/>
      <c r="CH73" s="161"/>
      <c r="CI73" s="161"/>
      <c r="CJ73" s="161"/>
      <c r="CK73" s="161"/>
      <c r="CL73" s="161"/>
      <c r="CM73" s="161"/>
      <c r="CN73" s="161"/>
      <c r="CO73" s="161"/>
      <c r="CP73" s="161"/>
      <c r="CQ73" s="161"/>
      <c r="CR73" s="161"/>
      <c r="CS73" s="161"/>
      <c r="CT73" s="161"/>
      <c r="CU73" s="161"/>
      <c r="CV73" s="161"/>
      <c r="CW73" s="161"/>
      <c r="CX73" s="161"/>
      <c r="CY73" s="161"/>
      <c r="CZ73" s="161"/>
      <c r="DA73" s="161"/>
      <c r="DB73" s="161"/>
      <c r="DC73" s="161"/>
      <c r="DD73" s="161"/>
      <c r="DE73" s="161"/>
      <c r="DF73" s="161"/>
      <c r="DG73" s="161"/>
      <c r="DH73" s="161"/>
      <c r="DI73" s="161"/>
      <c r="DJ73" s="161"/>
      <c r="DK73" s="161"/>
      <c r="DL73" s="161"/>
      <c r="DM73" s="161"/>
      <c r="DN73" s="161"/>
      <c r="DO73" s="161"/>
      <c r="DP73" s="161"/>
      <c r="DQ73" s="161"/>
      <c r="DR73" s="161"/>
      <c r="DS73" s="161"/>
      <c r="DT73" s="161"/>
      <c r="DU73" s="161"/>
      <c r="DV73" s="161"/>
      <c r="DW73" s="161"/>
      <c r="DX73" s="161"/>
    </row>
    <row r="74" ht="15.6" customHeight="1">
      <c r="A74" s="242"/>
      <c r="B74" s="296">
        <v>7</v>
      </c>
      <c r="C74" t="s" s="519">
        <f>IF(D74="","",C17)</f>
      </c>
      <c r="D74" t="s" s="520">
        <f>IF(OR(K17=0,K17=""),"",D17)</f>
      </c>
      <c r="E74" t="s" s="521">
        <f>IF(AX74="","",AX74)</f>
      </c>
      <c r="F74" s="314"/>
      <c r="G74" s="315"/>
      <c r="H74" s="501"/>
      <c r="I74" t="s" s="502">
        <f>IF(OR(K17="",K17=0),"",K17)</f>
      </c>
      <c r="J74" t="s" s="503">
        <f>_xlfn.IFERROR(IF(F74="","",VLOOKUP(F74,'10. Condition and Temporal'!$B$6:$F$103,5,FALSE)),"Error ▲")</f>
      </c>
      <c r="K74" s="504"/>
      <c r="L74" t="s" s="418">
        <f>_xlfn.IFERROR(IF(D74="","",IF(AX74="Distinctiveness",(((((I74*AH74*AJ74)-(I74*V74*X74))*(AV74*AT74))+(I74*V74*X74))*(AP74))/10000,((((I74*AJ74*AH74)-(I74*V74*X74))*(AV74*AR74))+(I74*V74*X74))*AP74/10000)),"Error ▲")</f>
      </c>
      <c r="M74" t="s" s="311">
        <f>_xlfn.IFERROR(IF(F74="","",L74-AD74),"Error ▲")</f>
      </c>
      <c r="N74" s="414"/>
      <c r="O74" s="415"/>
      <c r="P74" s="315"/>
      <c r="Q74" s="380"/>
      <c r="R74" s="219"/>
      <c r="S74" s="381"/>
      <c r="T74" t="s" s="295">
        <f>IF(D74="","",K17)</f>
      </c>
      <c r="U74" t="s" s="285">
        <f>IF($D74="","",T17)</f>
      </c>
      <c r="V74" t="s" s="313">
        <f>IF($D74="","",V17)</f>
      </c>
      <c r="W74" t="s" s="285">
        <f>IF($D74="","",W17)</f>
      </c>
      <c r="X74" t="s" s="313">
        <f>IF($D74="","",X17)</f>
      </c>
      <c r="Y74" s="510"/>
      <c r="Z74" s="511"/>
      <c r="AA74" s="512"/>
      <c r="AB74" t="s" s="285">
        <f>IF($D74="","",AB17)</f>
      </c>
      <c r="AC74" t="s" s="313">
        <f>IF($D74="","",AD17)</f>
      </c>
      <c r="AD74" t="s" s="295">
        <f>IF(AC74="","",(T74*V74*X74)*AC74/10000)</f>
      </c>
      <c r="AE74" t="s" s="295">
        <f>IF(AD74="","",IF(AH74&lt;V74,"Not Acceptable","Acceptable"))</f>
      </c>
      <c r="AF74" t="s" s="295">
        <f>IF(D74="","",I74)</f>
      </c>
      <c r="AG74" t="s" s="285">
        <f>IF(D74="","",VLOOKUP(F74,'9. All Habitats + Multipliers'!$C$4:$K$102,5,FALSE))</f>
      </c>
      <c r="AH74" t="s" s="313">
        <f>IF(AG74="","",VLOOKUP(AG74,'11. Lists'!$B$47:$D$49,2,FALSE))</f>
      </c>
      <c r="AI74" t="s" s="285">
        <f>IF(D74="","",J74)</f>
      </c>
      <c r="AJ74" t="s" s="313">
        <f>IF(AI74="","",VLOOKUP(AI74,'11. Lists'!$F$47:$G$51,2,FALSE))</f>
      </c>
      <c r="AK74" s="510"/>
      <c r="AL74" s="511"/>
      <c r="AM74" s="512"/>
      <c r="AN74" t="s" s="285">
        <f>IF(H74="","",H74)</f>
      </c>
      <c r="AO74" t="s" s="291">
        <f>IF(AN74="","",VLOOKUP(AN74,'11. Lists'!$F$36:$H$38,2,FALSE))</f>
      </c>
      <c r="AP74" t="s" s="313">
        <f>IF(AN74="","",VLOOKUP(AN74,'11. Lists'!$F$36:$H$38,3,FALSE))</f>
      </c>
      <c r="AQ74" t="s" s="285">
        <f>IF(D74="","",IF(AX74="Distinctiveness","N/A",VLOOKUP(F74,'10. Condition and Temporal'!$B$6:$L$103,11,FALSE)))</f>
      </c>
      <c r="AR74" t="s" s="313">
        <f>IF(AQ74="","",IF(AQ74="N/A","1",VLOOKUP(AQ74,'11. Lists'!$I$47:$K$80,3,FALSE)))</f>
      </c>
      <c r="AS74" t="s" s="285">
        <f>IF(D74="","",IF(AX74="Condition","N/A",VLOOKUP(F74,'10. Condition and Temporal'!$B$6:$M$106,12,FALSE)))</f>
      </c>
      <c r="AT74" t="s" s="313">
        <f>IF(AS74="","",IF(AS74="N/A","1",VLOOKUP(AS74,'11. Lists'!$I$47:$K$80,3,FALSE)))</f>
      </c>
      <c r="AU74" t="s" s="285">
        <f>IF(D74="","",VLOOKUP(F74,'9. All Habitats + Multipliers'!$C$4:$K$102,8,FALSE))</f>
      </c>
      <c r="AV74" t="s" s="313">
        <f>IF(AU74="","",VLOOKUP(AU74,'11. Lists'!$J$35:$K$38,2,FALSE))</f>
      </c>
      <c r="AW74" t="s" s="295">
        <f>IF(D74="","",VLOOKUP(D74,'10. Condition and Temporal'!$B$6:$M$103,4,FALSE))</f>
      </c>
      <c r="AX74" t="s" s="295">
        <f>IF(F74="","",IF(D74=F74,"Condition","Distinctiveness"))</f>
      </c>
      <c r="AY74" t="s" s="522">
        <f>IF(COUNTIF(F74,"*grassland*"),"Grassland",IF(COUNTIF(F74,"*scree*"),"Sparsely vegetated land",C74))</f>
      </c>
      <c r="AZ74" s="472"/>
      <c r="BA74" s="401">
        <v>7</v>
      </c>
      <c r="BB74" t="s" s="291">
        <f>TRIM(MID(SUBSTITUTE($AW$68,$BA$64,REPT(" ",LEN($AW$68))),($BA74-1)*LEN($AW$68)+1,LEN($AW$68)))</f>
      </c>
      <c r="BC74" t="s" s="291">
        <f>TRIM(MID(SUBSTITUTE($AW$69,$BA$64,REPT(" ",LEN($AW$69))),($BA74-1)*LEN($AW$69)+1,LEN($AW$69)))</f>
      </c>
      <c r="BD74" t="s" s="291">
        <f>TRIM(MID(SUBSTITUTE($AW$70,$BA$64,REPT(" ",LEN($AW$70))),($BA74-1)*LEN($AW$70)+1,LEN($AW$70)))</f>
      </c>
      <c r="BE74" t="s" s="291">
        <f>TRIM(MID(SUBSTITUTE($AW$71,$BA$64,REPT(" ",LEN($AW$71))),($BA74-1)*LEN($AW$71)+1,LEN($AW$71)))</f>
      </c>
      <c r="BF74" t="s" s="291">
        <f>TRIM(MID(SUBSTITUTE($AW$72,$BA$64,REPT(" ",LEN($AW$72))),($BA74-1)*LEN($AW$72)+1,LEN($AW$72)))</f>
      </c>
      <c r="BG74" t="s" s="291">
        <f>TRIM(MID(SUBSTITUTE($AW$73,$BA$64,REPT(" ",LEN($AW$73))),($BA74-1)*LEN($AW$73)+1,LEN($AW$73)))</f>
      </c>
      <c r="BH74" t="s" s="291">
        <f>TRIM(MID(SUBSTITUTE($AW$74,$BA$64,REPT(" ",LEN($AW$74))),($BA74-1)*LEN($AW$74)+1,LEN($AW$74)))</f>
      </c>
      <c r="BI74" t="s" s="291">
        <f>TRIM(MID(SUBSTITUTE($AW$75,$BA$64,REPT(" ",LEN($AW$75))),($BA74-1)*LEN($AW$75)+1,LEN($AW$75)))</f>
      </c>
      <c r="BJ74" t="s" s="291">
        <f>TRIM(MID(SUBSTITUTE($AW$76,$BA$64,REPT(" ",LEN($AW$76))),($BA74-1)*LEN($AW$76)+1,LEN($AW$76)))</f>
      </c>
      <c r="BK74" t="s" s="291">
        <f>TRIM(MID(SUBSTITUTE($AW$77,$BA$64,REPT(" ",LEN($AW$77))),($BA74-1)*LEN($AW$77)+1,LEN($AW$77)))</f>
      </c>
      <c r="BL74" t="s" s="291">
        <f>TRIM(MID(SUBSTITUTE($AW$78,$BA$64,REPT(" ",LEN($AW$78))),($BA74-1)*LEN($AW$78)+1,LEN($AW$78)))</f>
      </c>
      <c r="BM74" t="s" s="291">
        <f>TRIM(MID(SUBSTITUTE($AW$79,$BA$64,REPT(" ",LEN($AW$79))),($BA74-1)*LEN($AW$79)+1,LEN($AW$79)))</f>
      </c>
      <c r="BN74" t="s" s="291">
        <f>TRIM(MID(SUBSTITUTE($AW$80,$BA$64,REPT(" ",LEN($AW$80))),($BA74-1)*LEN($AW$80)+1,LEN($AW$80)))</f>
      </c>
      <c r="BO74" t="s" s="291">
        <f>TRIM(MID(SUBSTITUTE($AW$81,$BA$64,REPT(" ",LEN($AW$81))),($BA74-1)*LEN($AW$81)+1,LEN($AW$81)))</f>
      </c>
      <c r="BP74" t="s" s="291">
        <f>TRIM(MID(SUBSTITUTE($AW$82,$BA$64,REPT(" ",LEN($AW$82))),($BA74-1)*LEN($AW$82)+1,LEN($AW$82)))</f>
      </c>
      <c r="BQ74" t="s" s="291">
        <f>TRIM(MID(SUBSTITUTE($AW$83,$BA$64,REPT(" ",LEN($AW$83))),($BA74-1)*LEN($AW$83)+1,LEN($AW$83)))</f>
      </c>
      <c r="BR74" t="s" s="291">
        <f>TRIM(MID(SUBSTITUTE($AW$84,$BA$64,REPT(" ",LEN($AW$84))),($BA74-1)*LEN($AW$84)+1,LEN($AW$84)))</f>
      </c>
      <c r="BS74" t="s" s="291">
        <f>TRIM(MID(SUBSTITUTE($AW$85,$BA$64,REPT(" ",LEN($AW$85))),($BA74-1)*LEN($AW$85)+1,LEN($AW$85)))</f>
      </c>
      <c r="BT74" t="s" s="291">
        <f>TRIM(MID(SUBSTITUTE($AW$86,$BA$64,REPT(" ",LEN($AW$86))),($BA74-1)*LEN($AW$86)+1,LEN($AW$86)))</f>
      </c>
      <c r="BU74" t="s" s="313">
        <f>TRIM(MID(SUBSTITUTE($AW$87,$BA$64,REPT(" ",LEN($AW$87))),($BA74-1)*LEN($AW$87)+1,LEN($AW$87)))</f>
      </c>
      <c r="BV74" t="s" s="285">
        <f>IF(BX74=0,"",CONCATENATE(BW74,"68:",BW74,BX74+67))</f>
      </c>
      <c r="BW74" t="s" s="291">
        <v>230</v>
      </c>
      <c r="BX74" s="518">
        <f>BH66</f>
        <v>0</v>
      </c>
      <c r="BY74" s="459"/>
      <c r="BZ74" s="161"/>
      <c r="CA74" s="161"/>
      <c r="CB74" s="161"/>
      <c r="CC74" s="161"/>
      <c r="CD74" s="161"/>
      <c r="CE74" s="161"/>
      <c r="CF74" s="161"/>
      <c r="CG74" s="161"/>
      <c r="CH74" s="161"/>
      <c r="CI74" s="161"/>
      <c r="CJ74" s="161"/>
      <c r="CK74" s="161"/>
      <c r="CL74" s="161"/>
      <c r="CM74" s="161"/>
      <c r="CN74" s="161"/>
      <c r="CO74" s="161"/>
      <c r="CP74" s="161"/>
      <c r="CQ74" s="161"/>
      <c r="CR74" s="161"/>
      <c r="CS74" s="161"/>
      <c r="CT74" s="161"/>
      <c r="CU74" s="161"/>
      <c r="CV74" s="161"/>
      <c r="CW74" s="161"/>
      <c r="CX74" s="161"/>
      <c r="CY74" s="161"/>
      <c r="CZ74" s="161"/>
      <c r="DA74" s="161"/>
      <c r="DB74" s="161"/>
      <c r="DC74" s="161"/>
      <c r="DD74" s="161"/>
      <c r="DE74" s="161"/>
      <c r="DF74" s="161"/>
      <c r="DG74" s="161"/>
      <c r="DH74" s="161"/>
      <c r="DI74" s="161"/>
      <c r="DJ74" s="161"/>
      <c r="DK74" s="161"/>
      <c r="DL74" s="161"/>
      <c r="DM74" s="161"/>
      <c r="DN74" s="161"/>
      <c r="DO74" s="161"/>
      <c r="DP74" s="161"/>
      <c r="DQ74" s="161"/>
      <c r="DR74" s="161"/>
      <c r="DS74" s="161"/>
      <c r="DT74" s="161"/>
      <c r="DU74" s="161"/>
      <c r="DV74" s="161"/>
      <c r="DW74" s="161"/>
      <c r="DX74" s="161"/>
    </row>
    <row r="75" ht="15.6" customHeight="1">
      <c r="A75" s="242"/>
      <c r="B75" s="296">
        <v>8</v>
      </c>
      <c r="C75" t="s" s="519">
        <f>IF(D75="","",C18)</f>
      </c>
      <c r="D75" t="s" s="520">
        <f>IF(OR(K18=0,K18=""),"",D18)</f>
      </c>
      <c r="E75" t="s" s="521">
        <f>IF(AX75="","",AX75)</f>
      </c>
      <c r="F75" s="314"/>
      <c r="G75" s="315"/>
      <c r="H75" s="501"/>
      <c r="I75" t="s" s="502">
        <f>IF(OR(K18="",K18=0),"",K18)</f>
      </c>
      <c r="J75" t="s" s="503">
        <f>_xlfn.IFERROR(IF(F75="","",VLOOKUP(F75,'10. Condition and Temporal'!$B$6:$F$103,5,FALSE)),"Error ▲")</f>
      </c>
      <c r="K75" s="504"/>
      <c r="L75" t="s" s="418">
        <f>_xlfn.IFERROR(IF(D75="","",IF(AX75="Distinctiveness",(((((I75*AH75*AJ75)-(I75*V75*X75))*(AV75*AT75))+(I75*V75*X75))*(AP75))/10000,((((I75*AJ75*AH75)-(I75*V75*X75))*(AV75*AR75))+(I75*V75*X75))*AP75/10000)),"Error ▲")</f>
      </c>
      <c r="M75" t="s" s="311">
        <f>_xlfn.IFERROR(IF(F75="","",L75-AD75),"Error ▲")</f>
      </c>
      <c r="N75" s="414"/>
      <c r="O75" s="415"/>
      <c r="P75" s="315"/>
      <c r="Q75" s="380"/>
      <c r="R75" s="219"/>
      <c r="S75" s="381"/>
      <c r="T75" t="s" s="295">
        <f>IF(D75="","",K18)</f>
      </c>
      <c r="U75" t="s" s="285">
        <f>IF($D75="","",T18)</f>
      </c>
      <c r="V75" t="s" s="313">
        <f>IF($D75="","",V18)</f>
      </c>
      <c r="W75" t="s" s="285">
        <f>IF($D75="","",W18)</f>
      </c>
      <c r="X75" t="s" s="313">
        <f>IF($D75="","",X18)</f>
      </c>
      <c r="Y75" s="510"/>
      <c r="Z75" s="511"/>
      <c r="AA75" s="512"/>
      <c r="AB75" t="s" s="285">
        <f>IF($D75="","",AB18)</f>
      </c>
      <c r="AC75" t="s" s="313">
        <f>IF($D75="","",AD18)</f>
      </c>
      <c r="AD75" t="s" s="295">
        <f>IF(AC75="","",(T75*V75*X75)*AC75/10000)</f>
      </c>
      <c r="AE75" t="s" s="295">
        <f>IF(AD75="","",IF(AH75&lt;V75,"Not Acceptable","Acceptable"))</f>
      </c>
      <c r="AF75" t="s" s="295">
        <f>IF(D75="","",I75)</f>
      </c>
      <c r="AG75" t="s" s="285">
        <f>IF(D75="","",VLOOKUP(F75,'9. All Habitats + Multipliers'!$C$4:$K$102,5,FALSE))</f>
      </c>
      <c r="AH75" t="s" s="313">
        <f>IF(AG75="","",VLOOKUP(AG75,'11. Lists'!$B$47:$D$49,2,FALSE))</f>
      </c>
      <c r="AI75" t="s" s="285">
        <f>IF(D75="","",J75)</f>
      </c>
      <c r="AJ75" t="s" s="313">
        <f>IF(AI75="","",VLOOKUP(AI75,'11. Lists'!$F$47:$G$51,2,FALSE))</f>
      </c>
      <c r="AK75" s="510"/>
      <c r="AL75" s="511"/>
      <c r="AM75" s="512"/>
      <c r="AN75" t="s" s="285">
        <f>IF(H75="","",H75)</f>
      </c>
      <c r="AO75" t="s" s="291">
        <f>IF(AN75="","",VLOOKUP(AN75,'11. Lists'!$F$36:$H$38,2,FALSE))</f>
      </c>
      <c r="AP75" t="s" s="313">
        <f>IF(AN75="","",VLOOKUP(AN75,'11. Lists'!$F$36:$H$38,3,FALSE))</f>
      </c>
      <c r="AQ75" t="s" s="285">
        <f>IF(D75="","",IF(AX75="Distinctiveness","N/A",VLOOKUP(F75,'10. Condition and Temporal'!$B$6:$L$103,11,FALSE)))</f>
      </c>
      <c r="AR75" t="s" s="313">
        <f>IF(AQ75="","",IF(AQ75="N/A","1",VLOOKUP(AQ75,'11. Lists'!$I$47:$K$80,3,FALSE)))</f>
      </c>
      <c r="AS75" t="s" s="285">
        <f>IF(D75="","",IF(AX75="Condition","N/A",VLOOKUP(F75,'10. Condition and Temporal'!$B$6:$M$106,12,FALSE)))</f>
      </c>
      <c r="AT75" t="s" s="313">
        <f>IF(AS75="","",IF(AS75="N/A","1",VLOOKUP(AS75,'11. Lists'!$I$47:$K$80,3,FALSE)))</f>
      </c>
      <c r="AU75" t="s" s="285">
        <f>IF(D75="","",VLOOKUP(F75,'9. All Habitats + Multipliers'!$C$4:$K$102,8,FALSE))</f>
      </c>
      <c r="AV75" t="s" s="313">
        <f>IF(AU75="","",VLOOKUP(AU75,'11. Lists'!$J$35:$K$38,2,FALSE))</f>
      </c>
      <c r="AW75" t="s" s="295">
        <f>IF(D75="","",VLOOKUP(D75,'10. Condition and Temporal'!$B$6:$M$103,4,FALSE))</f>
      </c>
      <c r="AX75" t="s" s="295">
        <f>IF(F75="","",IF(D75=F75,"Condition","Distinctiveness"))</f>
      </c>
      <c r="AY75" t="s" s="522">
        <f>IF(COUNTIF(F75,"*grassland*"),"Grassland",IF(COUNTIF(F75,"*scree*"),"Sparsely vegetated land",C75))</f>
      </c>
      <c r="AZ75" s="472"/>
      <c r="BA75" s="401">
        <v>8</v>
      </c>
      <c r="BB75" t="s" s="291">
        <f>TRIM(MID(SUBSTITUTE($AW$68,$BA$64,REPT(" ",LEN($AW$68))),($BA75-1)*LEN($AW$68)+1,LEN($AW$68)))</f>
      </c>
      <c r="BC75" t="s" s="291">
        <f>TRIM(MID(SUBSTITUTE($AW$69,$BA$64,REPT(" ",LEN($AW$69))),($BA75-1)*LEN($AW$69)+1,LEN($AW$69)))</f>
      </c>
      <c r="BD75" t="s" s="291">
        <f>TRIM(MID(SUBSTITUTE($AW$70,$BA$64,REPT(" ",LEN($AW$70))),($BA75-1)*LEN($AW$70)+1,LEN($AW$70)))</f>
      </c>
      <c r="BE75" t="s" s="291">
        <f>TRIM(MID(SUBSTITUTE($AW$71,$BA$64,REPT(" ",LEN($AW$71))),($BA75-1)*LEN($AW$71)+1,LEN($AW$71)))</f>
      </c>
      <c r="BF75" t="s" s="291">
        <f>TRIM(MID(SUBSTITUTE($AW$72,$BA$64,REPT(" ",LEN($AW$72))),($BA75-1)*LEN($AW$72)+1,LEN($AW$72)))</f>
      </c>
      <c r="BG75" t="s" s="291">
        <f>TRIM(MID(SUBSTITUTE($AW$73,$BA$64,REPT(" ",LEN($AW$73))),($BA75-1)*LEN($AW$73)+1,LEN($AW$73)))</f>
      </c>
      <c r="BH75" t="s" s="291">
        <f>TRIM(MID(SUBSTITUTE($AW$74,$BA$64,REPT(" ",LEN($AW$74))),($BA75-1)*LEN($AW$74)+1,LEN($AW$74)))</f>
      </c>
      <c r="BI75" t="s" s="291">
        <f>TRIM(MID(SUBSTITUTE($AW$75,$BA$64,REPT(" ",LEN($AW$75))),($BA75-1)*LEN($AW$75)+1,LEN($AW$75)))</f>
      </c>
      <c r="BJ75" t="s" s="291">
        <f>TRIM(MID(SUBSTITUTE($AW$76,$BA$64,REPT(" ",LEN($AW$76))),($BA75-1)*LEN($AW$76)+1,LEN($AW$76)))</f>
      </c>
      <c r="BK75" t="s" s="291">
        <f>TRIM(MID(SUBSTITUTE($AW$77,$BA$64,REPT(" ",LEN($AW$77))),($BA75-1)*LEN($AW$77)+1,LEN($AW$77)))</f>
      </c>
      <c r="BL75" t="s" s="291">
        <f>TRIM(MID(SUBSTITUTE($AW$78,$BA$64,REPT(" ",LEN($AW$78))),($BA75-1)*LEN($AW$78)+1,LEN($AW$78)))</f>
      </c>
      <c r="BM75" t="s" s="291">
        <f>TRIM(MID(SUBSTITUTE($AW$79,$BA$64,REPT(" ",LEN($AW$79))),($BA75-1)*LEN($AW$79)+1,LEN($AW$79)))</f>
      </c>
      <c r="BN75" t="s" s="291">
        <f>TRIM(MID(SUBSTITUTE($AW$80,$BA$64,REPT(" ",LEN($AW$80))),($BA75-1)*LEN($AW$80)+1,LEN($AW$80)))</f>
      </c>
      <c r="BO75" t="s" s="291">
        <f>TRIM(MID(SUBSTITUTE($AW$81,$BA$64,REPT(" ",LEN($AW$81))),($BA75-1)*LEN($AW$81)+1,LEN($AW$81)))</f>
      </c>
      <c r="BP75" t="s" s="291">
        <f>TRIM(MID(SUBSTITUTE($AW$82,$BA$64,REPT(" ",LEN($AW$82))),($BA75-1)*LEN($AW$82)+1,LEN($AW$82)))</f>
      </c>
      <c r="BQ75" t="s" s="291">
        <f>TRIM(MID(SUBSTITUTE($AW$83,$BA$64,REPT(" ",LEN($AW$83))),($BA75-1)*LEN($AW$83)+1,LEN($AW$83)))</f>
      </c>
      <c r="BR75" t="s" s="291">
        <f>TRIM(MID(SUBSTITUTE($AW$84,$BA$64,REPT(" ",LEN($AW$84))),($BA75-1)*LEN($AW$84)+1,LEN($AW$84)))</f>
      </c>
      <c r="BS75" t="s" s="291">
        <f>TRIM(MID(SUBSTITUTE($AW$85,$BA$64,REPT(" ",LEN($AW$85))),($BA75-1)*LEN($AW$85)+1,LEN($AW$85)))</f>
      </c>
      <c r="BT75" t="s" s="291">
        <f>TRIM(MID(SUBSTITUTE($AW$86,$BA$64,REPT(" ",LEN($AW$86))),($BA75-1)*LEN($AW$86)+1,LEN($AW$86)))</f>
      </c>
      <c r="BU75" t="s" s="313">
        <f>TRIM(MID(SUBSTITUTE($AW$87,$BA$64,REPT(" ",LEN($AW$87))),($BA75-1)*LEN($AW$87)+1,LEN($AW$87)))</f>
      </c>
      <c r="BV75" t="s" s="285">
        <f>IF(BX75=0,"",CONCATENATE(BW75,"68:",BW75,BX75+67))</f>
      </c>
      <c r="BW75" t="s" s="291">
        <v>231</v>
      </c>
      <c r="BX75" s="518">
        <f>BI66</f>
        <v>0</v>
      </c>
      <c r="BY75" s="459"/>
      <c r="BZ75" s="161"/>
      <c r="CA75" s="161"/>
      <c r="CB75" s="161"/>
      <c r="CC75" s="161"/>
      <c r="CD75" s="161"/>
      <c r="CE75" s="161"/>
      <c r="CF75" s="161"/>
      <c r="CG75" s="161"/>
      <c r="CH75" s="161"/>
      <c r="CI75" s="161"/>
      <c r="CJ75" s="161"/>
      <c r="CK75" s="161"/>
      <c r="CL75" s="161"/>
      <c r="CM75" s="161"/>
      <c r="CN75" s="161"/>
      <c r="CO75" s="161"/>
      <c r="CP75" s="161"/>
      <c r="CQ75" s="161"/>
      <c r="CR75" s="161"/>
      <c r="CS75" s="161"/>
      <c r="CT75" s="161"/>
      <c r="CU75" s="161"/>
      <c r="CV75" s="161"/>
      <c r="CW75" s="161"/>
      <c r="CX75" s="161"/>
      <c r="CY75" s="161"/>
      <c r="CZ75" s="161"/>
      <c r="DA75" s="161"/>
      <c r="DB75" s="161"/>
      <c r="DC75" s="161"/>
      <c r="DD75" s="161"/>
      <c r="DE75" s="161"/>
      <c r="DF75" s="161"/>
      <c r="DG75" s="161"/>
      <c r="DH75" s="161"/>
      <c r="DI75" s="161"/>
      <c r="DJ75" s="161"/>
      <c r="DK75" s="161"/>
      <c r="DL75" s="161"/>
      <c r="DM75" s="161"/>
      <c r="DN75" s="161"/>
      <c r="DO75" s="161"/>
      <c r="DP75" s="161"/>
      <c r="DQ75" s="161"/>
      <c r="DR75" s="161"/>
      <c r="DS75" s="161"/>
      <c r="DT75" s="161"/>
      <c r="DU75" s="161"/>
      <c r="DV75" s="161"/>
      <c r="DW75" s="161"/>
      <c r="DX75" s="161"/>
    </row>
    <row r="76" ht="15.6" customHeight="1">
      <c r="A76" s="242"/>
      <c r="B76" s="296">
        <v>9</v>
      </c>
      <c r="C76" t="s" s="519">
        <f>IF(D76="","",C19)</f>
      </c>
      <c r="D76" t="s" s="520">
        <f>IF(OR(K19=0,K19=""),"",D19)</f>
      </c>
      <c r="E76" t="s" s="521">
        <f>IF(AX76="","",AX76)</f>
      </c>
      <c r="F76" s="314"/>
      <c r="G76" s="315"/>
      <c r="H76" s="501"/>
      <c r="I76" t="s" s="502">
        <f>IF(OR(K19="",K19=0),"",K19)</f>
      </c>
      <c r="J76" t="s" s="503">
        <f>_xlfn.IFERROR(IF(F76="","",VLOOKUP(F76,'10. Condition and Temporal'!$B$6:$F$103,5,FALSE)),"Error ▲")</f>
      </c>
      <c r="K76" s="504"/>
      <c r="L76" t="s" s="418">
        <f>_xlfn.IFERROR(IF(D76="","",IF(AX76="Distinctiveness",(((((I76*AH76*AJ76)-(I76*V76*X76))*(AV76*AT76))+(I76*V76*X76))*(AP76))/10000,((((I76*AJ76*AH76)-(I76*V76*X76))*(AV76*AR76))+(I76*V76*X76))*AP76/10000)),"Error ▲")</f>
      </c>
      <c r="M76" t="s" s="311">
        <f>_xlfn.IFERROR(IF(F76="","",L76-AD76),"Error ▲")</f>
      </c>
      <c r="N76" s="414"/>
      <c r="O76" s="415"/>
      <c r="P76" s="315"/>
      <c r="Q76" s="380"/>
      <c r="R76" s="219"/>
      <c r="S76" s="381"/>
      <c r="T76" t="s" s="295">
        <f>IF(D76="","",K19)</f>
      </c>
      <c r="U76" t="s" s="285">
        <f>IF($D76="","",T19)</f>
      </c>
      <c r="V76" t="s" s="313">
        <f>IF($D76="","",V19)</f>
      </c>
      <c r="W76" t="s" s="285">
        <f>IF($D76="","",W19)</f>
      </c>
      <c r="X76" t="s" s="313">
        <f>IF($D76="","",X19)</f>
      </c>
      <c r="Y76" s="510"/>
      <c r="Z76" s="511"/>
      <c r="AA76" s="512"/>
      <c r="AB76" t="s" s="285">
        <f>IF($D76="","",AB19)</f>
      </c>
      <c r="AC76" t="s" s="313">
        <f>IF($D76="","",AD19)</f>
      </c>
      <c r="AD76" t="s" s="295">
        <f>IF(AC76="","",(T76*V76*X76)*AC76/10000)</f>
      </c>
      <c r="AE76" t="s" s="295">
        <f>IF(AD76="","",IF(AH76&lt;V76,"Not Acceptable","Acceptable"))</f>
      </c>
      <c r="AF76" t="s" s="295">
        <f>IF(D76="","",I76)</f>
      </c>
      <c r="AG76" t="s" s="285">
        <f>IF(D76="","",VLOOKUP(F76,'9. All Habitats + Multipliers'!$C$4:$K$102,5,FALSE))</f>
      </c>
      <c r="AH76" t="s" s="313">
        <f>IF(AG76="","",VLOOKUP(AG76,'11. Lists'!$B$47:$D$49,2,FALSE))</f>
      </c>
      <c r="AI76" t="s" s="285">
        <f>IF(D76="","",J76)</f>
      </c>
      <c r="AJ76" t="s" s="313">
        <f>IF(AI76="","",VLOOKUP(AI76,'11. Lists'!$F$47:$G$51,2,FALSE))</f>
      </c>
      <c r="AK76" s="510"/>
      <c r="AL76" s="511"/>
      <c r="AM76" s="512"/>
      <c r="AN76" t="s" s="285">
        <f>IF(H76="","",H76)</f>
      </c>
      <c r="AO76" t="s" s="291">
        <f>IF(AN76="","",VLOOKUP(AN76,'11. Lists'!$F$36:$H$38,2,FALSE))</f>
      </c>
      <c r="AP76" t="s" s="313">
        <f>IF(AN76="","",VLOOKUP(AN76,'11. Lists'!$F$36:$H$38,3,FALSE))</f>
      </c>
      <c r="AQ76" t="s" s="285">
        <f>IF(D76="","",IF(AX76="Distinctiveness","N/A",VLOOKUP(F76,'10. Condition and Temporal'!$B$6:$L$103,11,FALSE)))</f>
      </c>
      <c r="AR76" t="s" s="313">
        <f>IF(AQ76="","",IF(AQ76="N/A","1",VLOOKUP(AQ76,'11. Lists'!$I$47:$K$80,3,FALSE)))</f>
      </c>
      <c r="AS76" t="s" s="285">
        <f>IF(D76="","",IF(AX76="Condition","N/A",VLOOKUP(F76,'10. Condition and Temporal'!$B$6:$M$106,12,FALSE)))</f>
      </c>
      <c r="AT76" t="s" s="313">
        <f>IF(AS76="","",IF(AS76="N/A","1",VLOOKUP(AS76,'11. Lists'!$I$47:$K$80,3,FALSE)))</f>
      </c>
      <c r="AU76" t="s" s="285">
        <f>IF(D76="","",VLOOKUP(F76,'9. All Habitats + Multipliers'!$C$4:$K$102,8,FALSE))</f>
      </c>
      <c r="AV76" t="s" s="313">
        <f>IF(AU76="","",VLOOKUP(AU76,'11. Lists'!$J$35:$K$38,2,FALSE))</f>
      </c>
      <c r="AW76" t="s" s="295">
        <f>IF(D76="","",VLOOKUP(D76,'10. Condition and Temporal'!$B$6:$M$103,4,FALSE))</f>
      </c>
      <c r="AX76" t="s" s="295">
        <f>IF(F76="","",IF(D76=F76,"Condition","Distinctiveness"))</f>
      </c>
      <c r="AY76" t="s" s="522">
        <f>IF(COUNTIF(F76,"*grassland*"),"Grassland",IF(COUNTIF(F76,"*scree*"),"Sparsely vegetated land",C76))</f>
      </c>
      <c r="AZ76" s="472"/>
      <c r="BA76" s="401">
        <v>9</v>
      </c>
      <c r="BB76" t="s" s="291">
        <f>TRIM(MID(SUBSTITUTE($AW$68,$BA$64,REPT(" ",LEN($AW$68))),($BA76-1)*LEN($AW$68)+1,LEN($AW$68)))</f>
      </c>
      <c r="BC76" t="s" s="291">
        <f>TRIM(MID(SUBSTITUTE($AW$69,$BA$64,REPT(" ",LEN($AW$69))),($BA76-1)*LEN($AW$69)+1,LEN($AW$69)))</f>
      </c>
      <c r="BD76" t="s" s="291">
        <f>TRIM(MID(SUBSTITUTE($AW$70,$BA$64,REPT(" ",LEN($AW$70))),($BA76-1)*LEN($AW$70)+1,LEN($AW$70)))</f>
      </c>
      <c r="BE76" t="s" s="291">
        <f>TRIM(MID(SUBSTITUTE($AW$71,$BA$64,REPT(" ",LEN($AW$71))),($BA76-1)*LEN($AW$71)+1,LEN($AW$71)))</f>
      </c>
      <c r="BF76" t="s" s="291">
        <f>TRIM(MID(SUBSTITUTE($AW$72,$BA$64,REPT(" ",LEN($AW$72))),($BA76-1)*LEN($AW$72)+1,LEN($AW$72)))</f>
      </c>
      <c r="BG76" t="s" s="291">
        <f>TRIM(MID(SUBSTITUTE($AW$73,$BA$64,REPT(" ",LEN($AW$73))),($BA76-1)*LEN($AW$73)+1,LEN($AW$73)))</f>
      </c>
      <c r="BH76" t="s" s="291">
        <f>TRIM(MID(SUBSTITUTE($AW$74,$BA$64,REPT(" ",LEN($AW$74))),($BA76-1)*LEN($AW$74)+1,LEN($AW$74)))</f>
      </c>
      <c r="BI76" t="s" s="291">
        <f>TRIM(MID(SUBSTITUTE($AW$75,$BA$64,REPT(" ",LEN($AW$75))),($BA76-1)*LEN($AW$75)+1,LEN($AW$75)))</f>
      </c>
      <c r="BJ76" t="s" s="291">
        <f>TRIM(MID(SUBSTITUTE($AW$76,$BA$64,REPT(" ",LEN($AW$76))),($BA76-1)*LEN($AW$76)+1,LEN($AW$76)))</f>
      </c>
      <c r="BK76" t="s" s="291">
        <f>TRIM(MID(SUBSTITUTE($AW$77,$BA$64,REPT(" ",LEN($AW$77))),($BA76-1)*LEN($AW$77)+1,LEN($AW$77)))</f>
      </c>
      <c r="BL76" t="s" s="291">
        <f>TRIM(MID(SUBSTITUTE($AW$78,$BA$64,REPT(" ",LEN($AW$78))),($BA76-1)*LEN($AW$78)+1,LEN($AW$78)))</f>
      </c>
      <c r="BM76" t="s" s="291">
        <f>TRIM(MID(SUBSTITUTE($AW$79,$BA$64,REPT(" ",LEN($AW$79))),($BA76-1)*LEN($AW$79)+1,LEN($AW$79)))</f>
      </c>
      <c r="BN76" t="s" s="291">
        <f>TRIM(MID(SUBSTITUTE($AW$80,$BA$64,REPT(" ",LEN($AW$80))),($BA76-1)*LEN($AW$80)+1,LEN($AW$80)))</f>
      </c>
      <c r="BO76" t="s" s="291">
        <f>TRIM(MID(SUBSTITUTE($AW$81,$BA$64,REPT(" ",LEN($AW$81))),($BA76-1)*LEN($AW$81)+1,LEN($AW$81)))</f>
      </c>
      <c r="BP76" t="s" s="291">
        <f>TRIM(MID(SUBSTITUTE($AW$82,$BA$64,REPT(" ",LEN($AW$82))),($BA76-1)*LEN($AW$82)+1,LEN($AW$82)))</f>
      </c>
      <c r="BQ76" t="s" s="291">
        <f>TRIM(MID(SUBSTITUTE($AW$83,$BA$64,REPT(" ",LEN($AW$83))),($BA76-1)*LEN($AW$83)+1,LEN($AW$83)))</f>
      </c>
      <c r="BR76" t="s" s="291">
        <f>TRIM(MID(SUBSTITUTE($AW$84,$BA$64,REPT(" ",LEN($AW$84))),($BA76-1)*LEN($AW$84)+1,LEN($AW$84)))</f>
      </c>
      <c r="BS76" t="s" s="291">
        <f>TRIM(MID(SUBSTITUTE($AW$85,$BA$64,REPT(" ",LEN($AW$85))),($BA76-1)*LEN($AW$85)+1,LEN($AW$85)))</f>
      </c>
      <c r="BT76" t="s" s="291">
        <f>TRIM(MID(SUBSTITUTE($AW$86,$BA$64,REPT(" ",LEN($AW$86))),($BA76-1)*LEN($AW$86)+1,LEN($AW$86)))</f>
      </c>
      <c r="BU76" t="s" s="313">
        <f>TRIM(MID(SUBSTITUTE($AW$87,$BA$64,REPT(" ",LEN($AW$87))),($BA76-1)*LEN($AW$87)+1,LEN($AW$87)))</f>
      </c>
      <c r="BV76" t="s" s="285">
        <f>IF(BX76=0,"",CONCATENATE(BW76,"68:",BW76,BX76+67))</f>
      </c>
      <c r="BW76" t="s" s="291">
        <v>232</v>
      </c>
      <c r="BX76" s="518">
        <f>BJ66</f>
        <v>0</v>
      </c>
      <c r="BY76" s="459"/>
      <c r="BZ76" s="161"/>
      <c r="CA76" s="161"/>
      <c r="CB76" s="161"/>
      <c r="CC76" s="161"/>
      <c r="CD76" s="161"/>
      <c r="CE76" s="161"/>
      <c r="CF76" s="161"/>
      <c r="CG76" s="161"/>
      <c r="CH76" s="161"/>
      <c r="CI76" s="161"/>
      <c r="CJ76" s="161"/>
      <c r="CK76" s="161"/>
      <c r="CL76" s="161"/>
      <c r="CM76" s="161"/>
      <c r="CN76" s="161"/>
      <c r="CO76" s="161"/>
      <c r="CP76" s="161"/>
      <c r="CQ76" s="161"/>
      <c r="CR76" s="161"/>
      <c r="CS76" s="161"/>
      <c r="CT76" s="161"/>
      <c r="CU76" s="161"/>
      <c r="CV76" s="161"/>
      <c r="CW76" s="161"/>
      <c r="CX76" s="161"/>
      <c r="CY76" s="161"/>
      <c r="CZ76" s="161"/>
      <c r="DA76" s="161"/>
      <c r="DB76" s="161"/>
      <c r="DC76" s="161"/>
      <c r="DD76" s="161"/>
      <c r="DE76" s="161"/>
      <c r="DF76" s="161"/>
      <c r="DG76" s="161"/>
      <c r="DH76" s="161"/>
      <c r="DI76" s="161"/>
      <c r="DJ76" s="161"/>
      <c r="DK76" s="161"/>
      <c r="DL76" s="161"/>
      <c r="DM76" s="161"/>
      <c r="DN76" s="161"/>
      <c r="DO76" s="161"/>
      <c r="DP76" s="161"/>
      <c r="DQ76" s="161"/>
      <c r="DR76" s="161"/>
      <c r="DS76" s="161"/>
      <c r="DT76" s="161"/>
      <c r="DU76" s="161"/>
      <c r="DV76" s="161"/>
      <c r="DW76" s="161"/>
      <c r="DX76" s="161"/>
    </row>
    <row r="77" ht="15.6" customHeight="1">
      <c r="A77" s="242"/>
      <c r="B77" s="296">
        <v>10</v>
      </c>
      <c r="C77" t="s" s="519">
        <f>IF(D77="","",C20)</f>
      </c>
      <c r="D77" t="s" s="520">
        <f>IF(OR(K20=0,K20=""),"",D20)</f>
      </c>
      <c r="E77" t="s" s="521">
        <f>IF(AX77="","",AX77)</f>
      </c>
      <c r="F77" s="314"/>
      <c r="G77" s="315"/>
      <c r="H77" s="501"/>
      <c r="I77" t="s" s="502">
        <f>IF(OR(K20="",K20=0),"",K20)</f>
      </c>
      <c r="J77" t="s" s="503">
        <f>_xlfn.IFERROR(IF(F77="","",VLOOKUP(F77,'10. Condition and Temporal'!$B$6:$F$103,5,FALSE)),"Error ▲")</f>
      </c>
      <c r="K77" s="504"/>
      <c r="L77" t="s" s="418">
        <f>_xlfn.IFERROR(IF(D77="","",IF(AX77="Distinctiveness",(((((I77*AH77*AJ77)-(I77*V77*X77))*(AV77*AT77))+(I77*V77*X77))*(AP77))/10000,((((I77*AJ77*AH77)-(I77*V77*X77))*(AV77*AR77))+(I77*V77*X77))*AP77/10000)),"Error ▲")</f>
      </c>
      <c r="M77" t="s" s="311">
        <f>_xlfn.IFERROR(IF(F77="","",L77-AD77),"Error ▲")</f>
      </c>
      <c r="N77" s="414"/>
      <c r="O77" s="415"/>
      <c r="P77" s="315"/>
      <c r="Q77" s="380"/>
      <c r="R77" s="219"/>
      <c r="S77" s="381"/>
      <c r="T77" t="s" s="295">
        <f>IF(D77="","",K20)</f>
      </c>
      <c r="U77" t="s" s="285">
        <f>IF($D77="","",T20)</f>
      </c>
      <c r="V77" t="s" s="313">
        <f>IF($D77="","",V20)</f>
      </c>
      <c r="W77" t="s" s="285">
        <f>IF($D77="","",W20)</f>
      </c>
      <c r="X77" t="s" s="313">
        <f>IF($D77="","",X20)</f>
      </c>
      <c r="Y77" s="510"/>
      <c r="Z77" s="511"/>
      <c r="AA77" s="512"/>
      <c r="AB77" t="s" s="285">
        <f>IF($D77="","",AB20)</f>
      </c>
      <c r="AC77" t="s" s="313">
        <f>IF($D77="","",AD20)</f>
      </c>
      <c r="AD77" t="s" s="295">
        <f>IF(AC77="","",(T77*V77*X77)*AC77/10000)</f>
      </c>
      <c r="AE77" t="s" s="295">
        <f>IF(AD77="","",IF(AH77&lt;V77,"Not Acceptable","Acceptable"))</f>
      </c>
      <c r="AF77" t="s" s="295">
        <f>IF(D77="","",I77)</f>
      </c>
      <c r="AG77" t="s" s="285">
        <f>IF(D77="","",VLOOKUP(F77,'9. All Habitats + Multipliers'!$C$4:$K$102,5,FALSE))</f>
      </c>
      <c r="AH77" t="s" s="313">
        <f>IF(AG77="","",VLOOKUP(AG77,'11. Lists'!$B$47:$D$49,2,FALSE))</f>
      </c>
      <c r="AI77" t="s" s="285">
        <f>IF(D77="","",J77)</f>
      </c>
      <c r="AJ77" t="s" s="313">
        <f>IF(AI77="","",VLOOKUP(AI77,'11. Lists'!$F$47:$G$51,2,FALSE))</f>
      </c>
      <c r="AK77" s="510"/>
      <c r="AL77" s="511"/>
      <c r="AM77" s="512"/>
      <c r="AN77" t="s" s="285">
        <f>IF(H77="","",H77)</f>
      </c>
      <c r="AO77" t="s" s="291">
        <f>IF(AN77="","",VLOOKUP(AN77,'11. Lists'!$F$36:$H$38,2,FALSE))</f>
      </c>
      <c r="AP77" t="s" s="313">
        <f>IF(AN77="","",VLOOKUP(AN77,'11. Lists'!$F$36:$H$38,3,FALSE))</f>
      </c>
      <c r="AQ77" t="s" s="285">
        <f>IF(D77="","",IF(AX77="Distinctiveness","N/A",VLOOKUP(F77,'10. Condition and Temporal'!$B$6:$L$103,11,FALSE)))</f>
      </c>
      <c r="AR77" t="s" s="313">
        <f>IF(AQ77="","",IF(AQ77="N/A","1",VLOOKUP(AQ77,'11. Lists'!$I$47:$K$80,3,FALSE)))</f>
      </c>
      <c r="AS77" t="s" s="285">
        <f>IF(D77="","",IF(AX77="Condition","N/A",VLOOKUP(F77,'10. Condition and Temporal'!$B$6:$M$106,12,FALSE)))</f>
      </c>
      <c r="AT77" t="s" s="313">
        <f>IF(AS77="","",IF(AS77="N/A","1",VLOOKUP(AS77,'11. Lists'!$I$47:$K$80,3,FALSE)))</f>
      </c>
      <c r="AU77" t="s" s="285">
        <f>IF(D77="","",VLOOKUP(F77,'9. All Habitats + Multipliers'!$C$4:$K$102,8,FALSE))</f>
      </c>
      <c r="AV77" t="s" s="313">
        <f>IF(AU77="","",VLOOKUP(AU77,'11. Lists'!$J$35:$K$38,2,FALSE))</f>
      </c>
      <c r="AW77" t="s" s="295">
        <f>IF(D77="","",VLOOKUP(D77,'10. Condition and Temporal'!$B$6:$M$103,4,FALSE))</f>
      </c>
      <c r="AX77" t="s" s="295">
        <f>IF(F77="","",IF(D77=F77,"Condition","Distinctiveness"))</f>
      </c>
      <c r="AY77" t="s" s="522">
        <f>IF(COUNTIF(F77,"*grassland*"),"Grassland",IF(COUNTIF(F77,"*scree*"),"Sparsely vegetated land",C77))</f>
      </c>
      <c r="AZ77" s="472"/>
      <c r="BA77" s="401">
        <v>10</v>
      </c>
      <c r="BB77" t="s" s="291">
        <f>TRIM(MID(SUBSTITUTE($AW$68,$BA$64,REPT(" ",LEN($AW$68))),($BA77-1)*LEN($AW$68)+1,LEN($AW$68)))</f>
      </c>
      <c r="BC77" t="s" s="291">
        <f>TRIM(MID(SUBSTITUTE($AW$69,$BA$64,REPT(" ",LEN($AW$69))),($BA77-1)*LEN($AW$69)+1,LEN($AW$69)))</f>
      </c>
      <c r="BD77" t="s" s="291">
        <f>TRIM(MID(SUBSTITUTE($AW$70,$BA$64,REPT(" ",LEN($AW$70))),($BA77-1)*LEN($AW$70)+1,LEN($AW$70)))</f>
      </c>
      <c r="BE77" t="s" s="291">
        <f>TRIM(MID(SUBSTITUTE($AW$71,$BA$64,REPT(" ",LEN($AW$71))),($BA77-1)*LEN($AW$71)+1,LEN($AW$71)))</f>
      </c>
      <c r="BF77" t="s" s="291">
        <f>TRIM(MID(SUBSTITUTE($AW$72,$BA$64,REPT(" ",LEN($AW$72))),($BA77-1)*LEN($AW$72)+1,LEN($AW$72)))</f>
      </c>
      <c r="BG77" t="s" s="291">
        <f>TRIM(MID(SUBSTITUTE($AW$73,$BA$64,REPT(" ",LEN($AW$73))),($BA77-1)*LEN($AW$73)+1,LEN($AW$73)))</f>
      </c>
      <c r="BH77" t="s" s="291">
        <f>TRIM(MID(SUBSTITUTE($AW$74,$BA$64,REPT(" ",LEN($AW$74))),($BA77-1)*LEN($AW$74)+1,LEN($AW$74)))</f>
      </c>
      <c r="BI77" t="s" s="291">
        <f>TRIM(MID(SUBSTITUTE($AW$75,$BA$64,REPT(" ",LEN($AW$75))),($BA77-1)*LEN($AW$75)+1,LEN($AW$75)))</f>
      </c>
      <c r="BJ77" t="s" s="291">
        <f>TRIM(MID(SUBSTITUTE($AW$76,$BA$64,REPT(" ",LEN($AW$76))),($BA77-1)*LEN($AW$76)+1,LEN($AW$76)))</f>
      </c>
      <c r="BK77" t="s" s="291">
        <f>TRIM(MID(SUBSTITUTE($AW$77,$BA$64,REPT(" ",LEN($AW$77))),($BA77-1)*LEN($AW$77)+1,LEN($AW$77)))</f>
      </c>
      <c r="BL77" t="s" s="291">
        <f>TRIM(MID(SUBSTITUTE($AW$78,$BA$64,REPT(" ",LEN($AW$78))),($BA77-1)*LEN($AW$78)+1,LEN($AW$78)))</f>
      </c>
      <c r="BM77" t="s" s="291">
        <f>TRIM(MID(SUBSTITUTE($AW$79,$BA$64,REPT(" ",LEN($AW$79))),($BA77-1)*LEN($AW$79)+1,LEN($AW$79)))</f>
      </c>
      <c r="BN77" t="s" s="291">
        <f>TRIM(MID(SUBSTITUTE($AW$80,$BA$64,REPT(" ",LEN($AW$80))),($BA77-1)*LEN($AW$80)+1,LEN($AW$80)))</f>
      </c>
      <c r="BO77" t="s" s="291">
        <f>TRIM(MID(SUBSTITUTE($AW$81,$BA$64,REPT(" ",LEN($AW$81))),($BA77-1)*LEN($AW$81)+1,LEN($AW$81)))</f>
      </c>
      <c r="BP77" t="s" s="291">
        <f>TRIM(MID(SUBSTITUTE($AW$82,$BA$64,REPT(" ",LEN($AW$82))),($BA77-1)*LEN($AW$82)+1,LEN($AW$82)))</f>
      </c>
      <c r="BQ77" t="s" s="291">
        <f>TRIM(MID(SUBSTITUTE($AW$83,$BA$64,REPT(" ",LEN($AW$83))),($BA77-1)*LEN($AW$83)+1,LEN($AW$83)))</f>
      </c>
      <c r="BR77" t="s" s="291">
        <f>TRIM(MID(SUBSTITUTE($AW$84,$BA$64,REPT(" ",LEN($AW$84))),($BA77-1)*LEN($AW$84)+1,LEN($AW$84)))</f>
      </c>
      <c r="BS77" t="s" s="291">
        <f>TRIM(MID(SUBSTITUTE($AW$85,$BA$64,REPT(" ",LEN($AW$85))),($BA77-1)*LEN($AW$85)+1,LEN($AW$85)))</f>
      </c>
      <c r="BT77" t="s" s="291">
        <f>TRIM(MID(SUBSTITUTE($AW$86,$BA$64,REPT(" ",LEN($AW$86))),($BA77-1)*LEN($AW$86)+1,LEN($AW$86)))</f>
      </c>
      <c r="BU77" t="s" s="313">
        <f>TRIM(MID(SUBSTITUTE($AW$87,$BA$64,REPT(" ",LEN($AW$87))),($BA77-1)*LEN($AW$87)+1,LEN($AW$87)))</f>
      </c>
      <c r="BV77" t="s" s="285">
        <f>IF(BX77=0,"",CONCATENATE(BW77,"68:",BW77,BX77+67))</f>
      </c>
      <c r="BW77" t="s" s="291">
        <v>233</v>
      </c>
      <c r="BX77" s="518">
        <f>BK66</f>
        <v>0</v>
      </c>
      <c r="BY77" s="459"/>
      <c r="BZ77" s="161"/>
      <c r="CA77" s="161"/>
      <c r="CB77" s="161"/>
      <c r="CC77" s="161"/>
      <c r="CD77" s="161"/>
      <c r="CE77" s="161"/>
      <c r="CF77" s="161"/>
      <c r="CG77" s="161"/>
      <c r="CH77" s="161"/>
      <c r="CI77" s="161"/>
      <c r="CJ77" s="161"/>
      <c r="CK77" s="161"/>
      <c r="CL77" s="161"/>
      <c r="CM77" s="161"/>
      <c r="CN77" s="161"/>
      <c r="CO77" s="161"/>
      <c r="CP77" s="161"/>
      <c r="CQ77" s="161"/>
      <c r="CR77" s="161"/>
      <c r="CS77" s="161"/>
      <c r="CT77" s="161"/>
      <c r="CU77" s="161"/>
      <c r="CV77" s="161"/>
      <c r="CW77" s="161"/>
      <c r="CX77" s="161"/>
      <c r="CY77" s="161"/>
      <c r="CZ77" s="161"/>
      <c r="DA77" s="161"/>
      <c r="DB77" s="161"/>
      <c r="DC77" s="161"/>
      <c r="DD77" s="161"/>
      <c r="DE77" s="161"/>
      <c r="DF77" s="161"/>
      <c r="DG77" s="161"/>
      <c r="DH77" s="161"/>
      <c r="DI77" s="161"/>
      <c r="DJ77" s="161"/>
      <c r="DK77" s="161"/>
      <c r="DL77" s="161"/>
      <c r="DM77" s="161"/>
      <c r="DN77" s="161"/>
      <c r="DO77" s="161"/>
      <c r="DP77" s="161"/>
      <c r="DQ77" s="161"/>
      <c r="DR77" s="161"/>
      <c r="DS77" s="161"/>
      <c r="DT77" s="161"/>
      <c r="DU77" s="161"/>
      <c r="DV77" s="161"/>
      <c r="DW77" s="161"/>
      <c r="DX77" s="161"/>
    </row>
    <row r="78" ht="15.6" customHeight="1">
      <c r="A78" s="242"/>
      <c r="B78" s="296">
        <v>11</v>
      </c>
      <c r="C78" t="s" s="519">
        <f>IF(D78="","",C21)</f>
      </c>
      <c r="D78" t="s" s="520">
        <f>IF(OR(K21=0,K21=""),"",D21)</f>
      </c>
      <c r="E78" t="s" s="521">
        <f>IF(AX78="","",AX78)</f>
      </c>
      <c r="F78" s="314"/>
      <c r="G78" s="315"/>
      <c r="H78" s="501"/>
      <c r="I78" t="s" s="502">
        <f>IF(OR(K21="",K21=0),"",K21)</f>
      </c>
      <c r="J78" t="s" s="503">
        <f>_xlfn.IFERROR(IF(F78="","",VLOOKUP(F78,'10. Condition and Temporal'!$B$6:$F$103,5,FALSE)),"Error ▲")</f>
      </c>
      <c r="K78" s="504"/>
      <c r="L78" t="s" s="418">
        <f>_xlfn.IFERROR(IF(D78="","",IF(AX78="Distinctiveness",(((((I78*AH78*AJ78)-(I78*V78*X78))*(AV78*AT78))+(I78*V78*X78))*(AP78))/10000,((((I78*AJ78*AH78)-(I78*V78*X78))*(AV78*AR78))+(I78*V78*X78))*AP78/10000)),"Error ▲")</f>
      </c>
      <c r="M78" t="s" s="311">
        <f>_xlfn.IFERROR(IF(F78="","",L78-AD78),"Error ▲")</f>
      </c>
      <c r="N78" s="414"/>
      <c r="O78" s="415"/>
      <c r="P78" s="315"/>
      <c r="Q78" s="380"/>
      <c r="R78" s="219"/>
      <c r="S78" s="381"/>
      <c r="T78" t="s" s="295">
        <f>IF(D78="","",K21)</f>
      </c>
      <c r="U78" t="s" s="285">
        <f>IF($D78="","",T21)</f>
      </c>
      <c r="V78" t="s" s="313">
        <f>IF($D78="","",V21)</f>
      </c>
      <c r="W78" t="s" s="285">
        <f>IF($D78="","",W21)</f>
      </c>
      <c r="X78" t="s" s="313">
        <f>IF($D78="","",X21)</f>
      </c>
      <c r="Y78" s="510"/>
      <c r="Z78" s="511"/>
      <c r="AA78" s="512"/>
      <c r="AB78" t="s" s="285">
        <f>IF($D78="","",AB21)</f>
      </c>
      <c r="AC78" t="s" s="313">
        <f>IF($D78="","",AD21)</f>
      </c>
      <c r="AD78" t="s" s="295">
        <f>IF(AC78="","",(T78*V78*X78)*AC78/10000)</f>
      </c>
      <c r="AE78" t="s" s="295">
        <f>IF(AD78="","",IF(AH78&lt;V78,"Not Acceptable","Acceptable"))</f>
      </c>
      <c r="AF78" t="s" s="295">
        <f>IF(D78="","",I78)</f>
      </c>
      <c r="AG78" t="s" s="285">
        <f>IF(D78="","",VLOOKUP(F78,'9. All Habitats + Multipliers'!$C$4:$K$102,5,FALSE))</f>
      </c>
      <c r="AH78" t="s" s="313">
        <f>IF(AG78="","",VLOOKUP(AG78,'11. Lists'!$B$47:$D$49,2,FALSE))</f>
      </c>
      <c r="AI78" t="s" s="285">
        <f>IF(D78="","",J78)</f>
      </c>
      <c r="AJ78" t="s" s="313">
        <f>IF(AI78="","",VLOOKUP(AI78,'11. Lists'!$F$47:$G$51,2,FALSE))</f>
      </c>
      <c r="AK78" s="510"/>
      <c r="AL78" s="511"/>
      <c r="AM78" s="512"/>
      <c r="AN78" t="s" s="285">
        <f>IF(H78="","",H78)</f>
      </c>
      <c r="AO78" t="s" s="291">
        <f>IF(AN78="","",VLOOKUP(AN78,'11. Lists'!$F$36:$H$38,2,FALSE))</f>
      </c>
      <c r="AP78" t="s" s="313">
        <f>IF(AN78="","",VLOOKUP(AN78,'11. Lists'!$F$36:$H$38,3,FALSE))</f>
      </c>
      <c r="AQ78" t="s" s="285">
        <f>IF(D78="","",IF(AX78="Distinctiveness","N/A",VLOOKUP(F78,'10. Condition and Temporal'!$B$6:$L$103,11,FALSE)))</f>
      </c>
      <c r="AR78" t="s" s="313">
        <f>IF(AQ78="","",IF(AQ78="N/A","1",VLOOKUP(AQ78,'11. Lists'!$I$47:$K$80,3,FALSE)))</f>
      </c>
      <c r="AS78" t="s" s="285">
        <f>IF(D78="","",IF(AX78="Condition","N/A",VLOOKUP(F78,'10. Condition and Temporal'!$B$6:$M$106,12,FALSE)))</f>
      </c>
      <c r="AT78" t="s" s="313">
        <f>IF(AS78="","",IF(AS78="N/A","1",VLOOKUP(AS78,'11. Lists'!$I$47:$K$80,3,FALSE)))</f>
      </c>
      <c r="AU78" t="s" s="285">
        <f>IF(D78="","",VLOOKUP(F78,'9. All Habitats + Multipliers'!$C$4:$K$102,8,FALSE))</f>
      </c>
      <c r="AV78" t="s" s="313">
        <f>IF(AU78="","",VLOOKUP(AU78,'11. Lists'!$J$35:$K$38,2,FALSE))</f>
      </c>
      <c r="AW78" t="s" s="295">
        <f>IF(D78="","",VLOOKUP(D78,'10. Condition and Temporal'!$B$6:$M$103,4,FALSE))</f>
      </c>
      <c r="AX78" t="s" s="295">
        <f>IF(F78="","",IF(D78=F78,"Condition","Distinctiveness"))</f>
      </c>
      <c r="AY78" t="s" s="522">
        <f>IF(COUNTIF(F78,"*grassland*"),"Grassland",IF(COUNTIF(F78,"*scree*"),"Sparsely vegetated land",C78))</f>
      </c>
      <c r="AZ78" s="472"/>
      <c r="BA78" s="401">
        <v>11</v>
      </c>
      <c r="BB78" t="s" s="291">
        <f>TRIM(MID(SUBSTITUTE($AW$68,$BA$64,REPT(" ",LEN($AW$68))),($BA78-1)*LEN($AW$68)+1,LEN($AW$68)))</f>
      </c>
      <c r="BC78" t="s" s="291">
        <f>TRIM(MID(SUBSTITUTE($AW$69,$BA$64,REPT(" ",LEN($AW$69))),($BA78-1)*LEN($AW$69)+1,LEN($AW$69)))</f>
      </c>
      <c r="BD78" t="s" s="291">
        <f>TRIM(MID(SUBSTITUTE($AW$70,$BA$64,REPT(" ",LEN($AW$70))),($BA78-1)*LEN($AW$70)+1,LEN($AW$70)))</f>
      </c>
      <c r="BE78" t="s" s="291">
        <f>TRIM(MID(SUBSTITUTE($AW$71,$BA$64,REPT(" ",LEN($AW$71))),($BA78-1)*LEN($AW$71)+1,LEN($AW$71)))</f>
      </c>
      <c r="BF78" t="s" s="291">
        <f>TRIM(MID(SUBSTITUTE($AW$72,$BA$64,REPT(" ",LEN($AW$72))),($BA78-1)*LEN($AW$72)+1,LEN($AW$72)))</f>
      </c>
      <c r="BG78" t="s" s="291">
        <f>TRIM(MID(SUBSTITUTE($AW$73,$BA$64,REPT(" ",LEN($AW$73))),($BA78-1)*LEN($AW$73)+1,LEN($AW$73)))</f>
      </c>
      <c r="BH78" t="s" s="291">
        <f>TRIM(MID(SUBSTITUTE($AW$74,$BA$64,REPT(" ",LEN($AW$74))),($BA78-1)*LEN($AW$74)+1,LEN($AW$74)))</f>
      </c>
      <c r="BI78" t="s" s="291">
        <f>TRIM(MID(SUBSTITUTE($AW$75,$BA$64,REPT(" ",LEN($AW$75))),($BA78-1)*LEN($AW$75)+1,LEN($AW$75)))</f>
      </c>
      <c r="BJ78" t="s" s="291">
        <f>TRIM(MID(SUBSTITUTE($AW$76,$BA$64,REPT(" ",LEN($AW$76))),($BA78-1)*LEN($AW$76)+1,LEN($AW$76)))</f>
      </c>
      <c r="BK78" t="s" s="291">
        <f>TRIM(MID(SUBSTITUTE($AW$77,$BA$64,REPT(" ",LEN($AW$77))),($BA78-1)*LEN($AW$77)+1,LEN($AW$77)))</f>
      </c>
      <c r="BL78" t="s" s="291">
        <f>TRIM(MID(SUBSTITUTE($AW$78,$BA$64,REPT(" ",LEN($AW$78))),($BA78-1)*LEN($AW$78)+1,LEN($AW$78)))</f>
      </c>
      <c r="BM78" t="s" s="291">
        <f>TRIM(MID(SUBSTITUTE($AW$79,$BA$64,REPT(" ",LEN($AW$79))),($BA78-1)*LEN($AW$79)+1,LEN($AW$79)))</f>
      </c>
      <c r="BN78" t="s" s="291">
        <f>TRIM(MID(SUBSTITUTE($AW$80,$BA$64,REPT(" ",LEN($AW$80))),($BA78-1)*LEN($AW$80)+1,LEN($AW$80)))</f>
      </c>
      <c r="BO78" t="s" s="291">
        <f>TRIM(MID(SUBSTITUTE($AW$81,$BA$64,REPT(" ",LEN($AW$81))),($BA78-1)*LEN($AW$81)+1,LEN($AW$81)))</f>
      </c>
      <c r="BP78" t="s" s="291">
        <f>TRIM(MID(SUBSTITUTE($AW$82,$BA$64,REPT(" ",LEN($AW$82))),($BA78-1)*LEN($AW$82)+1,LEN($AW$82)))</f>
      </c>
      <c r="BQ78" t="s" s="291">
        <f>TRIM(MID(SUBSTITUTE($AW$83,$BA$64,REPT(" ",LEN($AW$83))),($BA78-1)*LEN($AW$83)+1,LEN($AW$83)))</f>
      </c>
      <c r="BR78" t="s" s="291">
        <f>TRIM(MID(SUBSTITUTE($AW$84,$BA$64,REPT(" ",LEN($AW$84))),($BA78-1)*LEN($AW$84)+1,LEN($AW$84)))</f>
      </c>
      <c r="BS78" t="s" s="291">
        <f>TRIM(MID(SUBSTITUTE($AW$85,$BA$64,REPT(" ",LEN($AW$85))),($BA78-1)*LEN($AW$85)+1,LEN($AW$85)))</f>
      </c>
      <c r="BT78" t="s" s="291">
        <f>TRIM(MID(SUBSTITUTE($AW$86,$BA$64,REPT(" ",LEN($AW$86))),($BA78-1)*LEN($AW$86)+1,LEN($AW$86)))</f>
      </c>
      <c r="BU78" t="s" s="313">
        <f>TRIM(MID(SUBSTITUTE($AW$87,$BA$64,REPT(" ",LEN($AW$87))),($BA78-1)*LEN($AW$87)+1,LEN($AW$87)))</f>
      </c>
      <c r="BV78" t="s" s="285">
        <f>IF(BX78=0,"",CONCATENATE(BW78,"68:",BW78,BX78+67))</f>
      </c>
      <c r="BW78" t="s" s="291">
        <v>234</v>
      </c>
      <c r="BX78" s="518">
        <f>BL66</f>
        <v>0</v>
      </c>
      <c r="BY78" s="459"/>
      <c r="BZ78" s="161"/>
      <c r="CA78" s="161"/>
      <c r="CB78" s="161"/>
      <c r="CC78" s="161"/>
      <c r="CD78" s="161"/>
      <c r="CE78" s="161"/>
      <c r="CF78" s="161"/>
      <c r="CG78" s="161"/>
      <c r="CH78" s="161"/>
      <c r="CI78" s="161"/>
      <c r="CJ78" s="161"/>
      <c r="CK78" s="161"/>
      <c r="CL78" s="161"/>
      <c r="CM78" s="161"/>
      <c r="CN78" s="161"/>
      <c r="CO78" s="161"/>
      <c r="CP78" s="161"/>
      <c r="CQ78" s="161"/>
      <c r="CR78" s="161"/>
      <c r="CS78" s="161"/>
      <c r="CT78" s="161"/>
      <c r="CU78" s="161"/>
      <c r="CV78" s="161"/>
      <c r="CW78" s="161"/>
      <c r="CX78" s="161"/>
      <c r="CY78" s="161"/>
      <c r="CZ78" s="161"/>
      <c r="DA78" s="161"/>
      <c r="DB78" s="161"/>
      <c r="DC78" s="161"/>
      <c r="DD78" s="161"/>
      <c r="DE78" s="161"/>
      <c r="DF78" s="161"/>
      <c r="DG78" s="161"/>
      <c r="DH78" s="161"/>
      <c r="DI78" s="161"/>
      <c r="DJ78" s="161"/>
      <c r="DK78" s="161"/>
      <c r="DL78" s="161"/>
      <c r="DM78" s="161"/>
      <c r="DN78" s="161"/>
      <c r="DO78" s="161"/>
      <c r="DP78" s="161"/>
      <c r="DQ78" s="161"/>
      <c r="DR78" s="161"/>
      <c r="DS78" s="161"/>
      <c r="DT78" s="161"/>
      <c r="DU78" s="161"/>
      <c r="DV78" s="161"/>
      <c r="DW78" s="161"/>
      <c r="DX78" s="161"/>
    </row>
    <row r="79" ht="15.6" customHeight="1">
      <c r="A79" s="242"/>
      <c r="B79" s="296">
        <v>12</v>
      </c>
      <c r="C79" t="s" s="519">
        <f>IF(D79="","",C22)</f>
      </c>
      <c r="D79" t="s" s="520">
        <f>IF(OR(K22=0,K22=""),"",D22)</f>
      </c>
      <c r="E79" t="s" s="521">
        <f>IF(AX79="","",AX79)</f>
      </c>
      <c r="F79" s="314"/>
      <c r="G79" s="315"/>
      <c r="H79" s="501"/>
      <c r="I79" t="s" s="502">
        <f>IF(OR(K22="",K22=0),"",K22)</f>
      </c>
      <c r="J79" t="s" s="503">
        <f>_xlfn.IFERROR(IF(F79="","",VLOOKUP(F79,'10. Condition and Temporal'!$B$6:$F$103,5,FALSE)),"Error ▲")</f>
      </c>
      <c r="K79" s="504"/>
      <c r="L79" t="s" s="418">
        <f>_xlfn.IFERROR(IF(D79="","",IF(AX79="Distinctiveness",(((((I79*AH79*AJ79)-(I79*V79*X79))*(AV79*AT79))+(I79*V79*X79))*(AP79))/10000,((((I79*AJ79*AH79)-(I79*V79*X79))*(AV79*AR79))+(I79*V79*X79))*AP79/10000)),"Error ▲")</f>
      </c>
      <c r="M79" t="s" s="311">
        <f>_xlfn.IFERROR(IF(F79="","",L79-AD79),"Error ▲")</f>
      </c>
      <c r="N79" s="414"/>
      <c r="O79" s="415"/>
      <c r="P79" s="315"/>
      <c r="Q79" s="380"/>
      <c r="R79" s="219"/>
      <c r="S79" s="381"/>
      <c r="T79" t="s" s="295">
        <f>IF(D79="","",K22)</f>
      </c>
      <c r="U79" t="s" s="285">
        <f>IF($D79="","",T22)</f>
      </c>
      <c r="V79" t="s" s="313">
        <f>IF($D79="","",V22)</f>
      </c>
      <c r="W79" t="s" s="285">
        <f>IF($D79="","",W22)</f>
      </c>
      <c r="X79" t="s" s="313">
        <f>IF($D79="","",X22)</f>
      </c>
      <c r="Y79" s="510"/>
      <c r="Z79" s="511"/>
      <c r="AA79" s="512"/>
      <c r="AB79" t="s" s="285">
        <f>IF($D79="","",AB22)</f>
      </c>
      <c r="AC79" t="s" s="313">
        <f>IF($D79="","",AD22)</f>
      </c>
      <c r="AD79" t="s" s="295">
        <f>IF(AC79="","",(T79*V79*X79)*AC79/10000)</f>
      </c>
      <c r="AE79" t="s" s="295">
        <f>IF(AD79="","",IF(AH79&lt;V79,"Not Acceptable","Acceptable"))</f>
      </c>
      <c r="AF79" t="s" s="295">
        <f>IF(D79="","",I79)</f>
      </c>
      <c r="AG79" t="s" s="285">
        <f>IF(D79="","",VLOOKUP(F79,'9. All Habitats + Multipliers'!$C$4:$K$102,5,FALSE))</f>
      </c>
      <c r="AH79" t="s" s="313">
        <f>IF(AG79="","",VLOOKUP(AG79,'11. Lists'!$B$47:$D$49,2,FALSE))</f>
      </c>
      <c r="AI79" t="s" s="285">
        <f>IF(D79="","",J79)</f>
      </c>
      <c r="AJ79" t="s" s="313">
        <f>IF(AI79="","",VLOOKUP(AI79,'11. Lists'!$F$47:$G$51,2,FALSE))</f>
      </c>
      <c r="AK79" s="510"/>
      <c r="AL79" s="511"/>
      <c r="AM79" s="512"/>
      <c r="AN79" t="s" s="285">
        <f>IF(H79="","",H79)</f>
      </c>
      <c r="AO79" t="s" s="291">
        <f>IF(AN79="","",VLOOKUP(AN79,'11. Lists'!$F$36:$H$38,2,FALSE))</f>
      </c>
      <c r="AP79" t="s" s="313">
        <f>IF(AN79="","",VLOOKUP(AN79,'11. Lists'!$F$36:$H$38,3,FALSE))</f>
      </c>
      <c r="AQ79" t="s" s="285">
        <f>IF(D79="","",IF(AX79="Distinctiveness","N/A",VLOOKUP(F79,'10. Condition and Temporal'!$B$6:$L$103,11,FALSE)))</f>
      </c>
      <c r="AR79" t="s" s="313">
        <f>IF(AQ79="","",IF(AQ79="N/A","1",VLOOKUP(AQ79,'11. Lists'!$I$47:$K$80,3,FALSE)))</f>
      </c>
      <c r="AS79" t="s" s="285">
        <f>IF(D79="","",IF(AX79="Condition","N/A",VLOOKUP(F79,'10. Condition and Temporal'!$B$6:$M$106,12,FALSE)))</f>
      </c>
      <c r="AT79" t="s" s="313">
        <f>IF(AS79="","",IF(AS79="N/A","1",VLOOKUP(AS79,'11. Lists'!$I$47:$K$80,3,FALSE)))</f>
      </c>
      <c r="AU79" t="s" s="285">
        <f>IF(D79="","",VLOOKUP(F79,'9. All Habitats + Multipliers'!$C$4:$K$102,8,FALSE))</f>
      </c>
      <c r="AV79" t="s" s="313">
        <f>IF(AU79="","",VLOOKUP(AU79,'11. Lists'!$J$35:$K$38,2,FALSE))</f>
      </c>
      <c r="AW79" t="s" s="295">
        <f>IF(D79="","",VLOOKUP(D79,'10. Condition and Temporal'!$B$6:$M$103,4,FALSE))</f>
      </c>
      <c r="AX79" t="s" s="295">
        <f>IF(F79="","",IF(D79=F79,"Condition","Distinctiveness"))</f>
      </c>
      <c r="AY79" t="s" s="522">
        <f>IF(COUNTIF(F79,"*grassland*"),"Grassland",IF(COUNTIF(F79,"*scree*"),"Sparsely vegetated land",C79))</f>
      </c>
      <c r="AZ79" s="472"/>
      <c r="BA79" s="401">
        <v>12</v>
      </c>
      <c r="BB79" t="s" s="291">
        <f>TRIM(MID(SUBSTITUTE($AW$68,$BA$64,REPT(" ",LEN($AW$68))),($BA79-1)*LEN($AW$68)+1,LEN($AW$68)))</f>
      </c>
      <c r="BC79" t="s" s="291">
        <f>TRIM(MID(SUBSTITUTE($AW$69,$BA$64,REPT(" ",LEN($AW$69))),($BA79-1)*LEN($AW$69)+1,LEN($AW$69)))</f>
      </c>
      <c r="BD79" t="s" s="291">
        <f>TRIM(MID(SUBSTITUTE($AW$70,$BA$64,REPT(" ",LEN($AW$70))),($BA79-1)*LEN($AW$70)+1,LEN($AW$70)))</f>
      </c>
      <c r="BE79" t="s" s="291">
        <f>TRIM(MID(SUBSTITUTE($AW$71,$BA$64,REPT(" ",LEN($AW$71))),($BA79-1)*LEN($AW$71)+1,LEN($AW$71)))</f>
      </c>
      <c r="BF79" t="s" s="291">
        <f>TRIM(MID(SUBSTITUTE($AW$72,$BA$64,REPT(" ",LEN($AW$72))),($BA79-1)*LEN($AW$72)+1,LEN($AW$72)))</f>
      </c>
      <c r="BG79" t="s" s="291">
        <f>TRIM(MID(SUBSTITUTE($AW$73,$BA$64,REPT(" ",LEN($AW$73))),($BA79-1)*LEN($AW$73)+1,LEN($AW$73)))</f>
      </c>
      <c r="BH79" t="s" s="291">
        <f>TRIM(MID(SUBSTITUTE($AW$74,$BA$64,REPT(" ",LEN($AW$74))),($BA79-1)*LEN($AW$74)+1,LEN($AW$74)))</f>
      </c>
      <c r="BI79" t="s" s="291">
        <f>TRIM(MID(SUBSTITUTE($AW$75,$BA$64,REPT(" ",LEN($AW$75))),($BA79-1)*LEN($AW$75)+1,LEN($AW$75)))</f>
      </c>
      <c r="BJ79" t="s" s="291">
        <f>TRIM(MID(SUBSTITUTE($AW$76,$BA$64,REPT(" ",LEN($AW$76))),($BA79-1)*LEN($AW$76)+1,LEN($AW$76)))</f>
      </c>
      <c r="BK79" t="s" s="291">
        <f>TRIM(MID(SUBSTITUTE($AW$77,$BA$64,REPT(" ",LEN($AW$77))),($BA79-1)*LEN($AW$77)+1,LEN($AW$77)))</f>
      </c>
      <c r="BL79" t="s" s="291">
        <f>TRIM(MID(SUBSTITUTE($AW$78,$BA$64,REPT(" ",LEN($AW$78))),($BA79-1)*LEN($AW$78)+1,LEN($AW$78)))</f>
      </c>
      <c r="BM79" t="s" s="291">
        <f>TRIM(MID(SUBSTITUTE($AW$79,$BA$64,REPT(" ",LEN($AW$79))),($BA79-1)*LEN($AW$79)+1,LEN($AW$79)))</f>
      </c>
      <c r="BN79" t="s" s="291">
        <f>TRIM(MID(SUBSTITUTE($AW$80,$BA$64,REPT(" ",LEN($AW$80))),($BA79-1)*LEN($AW$80)+1,LEN($AW$80)))</f>
      </c>
      <c r="BO79" t="s" s="291">
        <f>TRIM(MID(SUBSTITUTE($AW$81,$BA$64,REPT(" ",LEN($AW$81))),($BA79-1)*LEN($AW$81)+1,LEN($AW$81)))</f>
      </c>
      <c r="BP79" t="s" s="291">
        <f>TRIM(MID(SUBSTITUTE($AW$82,$BA$64,REPT(" ",LEN($AW$82))),($BA79-1)*LEN($AW$82)+1,LEN($AW$82)))</f>
      </c>
      <c r="BQ79" t="s" s="291">
        <f>TRIM(MID(SUBSTITUTE($AW$83,$BA$64,REPT(" ",LEN($AW$83))),($BA79-1)*LEN($AW$83)+1,LEN($AW$83)))</f>
      </c>
      <c r="BR79" t="s" s="291">
        <f>TRIM(MID(SUBSTITUTE($AW$84,$BA$64,REPT(" ",LEN($AW$84))),($BA79-1)*LEN($AW$84)+1,LEN($AW$84)))</f>
      </c>
      <c r="BS79" t="s" s="291">
        <f>TRIM(MID(SUBSTITUTE($AW$85,$BA$64,REPT(" ",LEN($AW$85))),($BA79-1)*LEN($AW$85)+1,LEN($AW$85)))</f>
      </c>
      <c r="BT79" t="s" s="291">
        <f>TRIM(MID(SUBSTITUTE($AW$86,$BA$64,REPT(" ",LEN($AW$86))),($BA79-1)*LEN($AW$86)+1,LEN($AW$86)))</f>
      </c>
      <c r="BU79" t="s" s="313">
        <f>TRIM(MID(SUBSTITUTE($AW$87,$BA$64,REPT(" ",LEN($AW$87))),($BA79-1)*LEN($AW$87)+1,LEN($AW$87)))</f>
      </c>
      <c r="BV79" t="s" s="285">
        <f>IF(BX79=0,"",CONCATENATE(BW79,"68:",BW79,BX79+67))</f>
      </c>
      <c r="BW79" t="s" s="291">
        <v>235</v>
      </c>
      <c r="BX79" s="518">
        <f>BM66</f>
        <v>0</v>
      </c>
      <c r="BY79" s="459"/>
      <c r="BZ79" s="161"/>
      <c r="CA79" s="161"/>
      <c r="CB79" s="161"/>
      <c r="CC79" s="161"/>
      <c r="CD79" s="161"/>
      <c r="CE79" s="161"/>
      <c r="CF79" s="161"/>
      <c r="CG79" s="161"/>
      <c r="CH79" s="161"/>
      <c r="CI79" s="161"/>
      <c r="CJ79" s="161"/>
      <c r="CK79" s="161"/>
      <c r="CL79" s="161"/>
      <c r="CM79" s="161"/>
      <c r="CN79" s="161"/>
      <c r="CO79" s="161"/>
      <c r="CP79" s="161"/>
      <c r="CQ79" s="161"/>
      <c r="CR79" s="161"/>
      <c r="CS79" s="161"/>
      <c r="CT79" s="161"/>
      <c r="CU79" s="161"/>
      <c r="CV79" s="161"/>
      <c r="CW79" s="161"/>
      <c r="CX79" s="161"/>
      <c r="CY79" s="161"/>
      <c r="CZ79" s="161"/>
      <c r="DA79" s="161"/>
      <c r="DB79" s="161"/>
      <c r="DC79" s="161"/>
      <c r="DD79" s="161"/>
      <c r="DE79" s="161"/>
      <c r="DF79" s="161"/>
      <c r="DG79" s="161"/>
      <c r="DH79" s="161"/>
      <c r="DI79" s="161"/>
      <c r="DJ79" s="161"/>
      <c r="DK79" s="161"/>
      <c r="DL79" s="161"/>
      <c r="DM79" s="161"/>
      <c r="DN79" s="161"/>
      <c r="DO79" s="161"/>
      <c r="DP79" s="161"/>
      <c r="DQ79" s="161"/>
      <c r="DR79" s="161"/>
      <c r="DS79" s="161"/>
      <c r="DT79" s="161"/>
      <c r="DU79" s="161"/>
      <c r="DV79" s="161"/>
      <c r="DW79" s="161"/>
      <c r="DX79" s="161"/>
    </row>
    <row r="80" ht="15.6" customHeight="1">
      <c r="A80" s="242"/>
      <c r="B80" s="296">
        <v>13</v>
      </c>
      <c r="C80" t="s" s="519">
        <f>IF(D80="","",C23)</f>
      </c>
      <c r="D80" t="s" s="520">
        <f>IF(OR(K23=0,K23=""),"",D23)</f>
      </c>
      <c r="E80" t="s" s="521">
        <f>IF(AX80="","",AX80)</f>
      </c>
      <c r="F80" s="314"/>
      <c r="G80" s="315"/>
      <c r="H80" s="501"/>
      <c r="I80" t="s" s="502">
        <f>IF(OR(K23="",K23=0),"",K23)</f>
      </c>
      <c r="J80" t="s" s="503">
        <f>_xlfn.IFERROR(IF(F80="","",VLOOKUP(F80,'10. Condition and Temporal'!$B$6:$F$103,5,FALSE)),"Error ▲")</f>
      </c>
      <c r="K80" s="504"/>
      <c r="L80" t="s" s="418">
        <f>_xlfn.IFERROR(IF(D80="","",IF(AX80="Distinctiveness",(((((I80*AH80*AJ80)-(I80*V80*X80))*(AV80*AT80))+(I80*V80*X80))*(AP80))/10000,((((I80*AJ80*AH80)-(I80*V80*X80))*(AV80*AR80))+(I80*V80*X80))*AP80/10000)),"Error ▲")</f>
      </c>
      <c r="M80" t="s" s="311">
        <f>_xlfn.IFERROR(IF(F80="","",L80-AD80),"Error ▲")</f>
      </c>
      <c r="N80" s="414"/>
      <c r="O80" s="415"/>
      <c r="P80" s="315"/>
      <c r="Q80" s="380"/>
      <c r="R80" s="219"/>
      <c r="S80" s="381"/>
      <c r="T80" t="s" s="295">
        <f>IF(D80="","",K23)</f>
      </c>
      <c r="U80" t="s" s="285">
        <f>IF($D80="","",T23)</f>
      </c>
      <c r="V80" t="s" s="313">
        <f>IF($D80="","",V23)</f>
      </c>
      <c r="W80" t="s" s="285">
        <f>IF($D80="","",W23)</f>
      </c>
      <c r="X80" t="s" s="313">
        <f>IF($D80="","",X23)</f>
      </c>
      <c r="Y80" s="510"/>
      <c r="Z80" s="511"/>
      <c r="AA80" s="512"/>
      <c r="AB80" t="s" s="285">
        <f>IF($D80="","",AB23)</f>
      </c>
      <c r="AC80" t="s" s="313">
        <f>IF($D80="","",AD23)</f>
      </c>
      <c r="AD80" t="s" s="295">
        <f>IF(AC80="","",(T80*V80*X80)*AC80/10000)</f>
      </c>
      <c r="AE80" t="s" s="295">
        <f>IF(AD80="","",IF(AH80&lt;V80,"Not Acceptable","Acceptable"))</f>
      </c>
      <c r="AF80" t="s" s="295">
        <f>IF(D80="","",I80)</f>
      </c>
      <c r="AG80" t="s" s="285">
        <f>IF(D80="","",VLOOKUP(F80,'9. All Habitats + Multipliers'!$C$4:$K$102,5,FALSE))</f>
      </c>
      <c r="AH80" t="s" s="313">
        <f>IF(AG80="","",VLOOKUP(AG80,'11. Lists'!$B$47:$D$49,2,FALSE))</f>
      </c>
      <c r="AI80" t="s" s="285">
        <f>IF(D80="","",J80)</f>
      </c>
      <c r="AJ80" t="s" s="313">
        <f>IF(AI80="","",VLOOKUP(AI80,'11. Lists'!$F$47:$G$51,2,FALSE))</f>
      </c>
      <c r="AK80" s="510"/>
      <c r="AL80" s="511"/>
      <c r="AM80" s="512"/>
      <c r="AN80" t="s" s="285">
        <f>IF(H80="","",H80)</f>
      </c>
      <c r="AO80" t="s" s="291">
        <f>IF(AN80="","",VLOOKUP(AN80,'11. Lists'!$F$36:$H$38,2,FALSE))</f>
      </c>
      <c r="AP80" t="s" s="313">
        <f>IF(AN80="","",VLOOKUP(AN80,'11. Lists'!$F$36:$H$38,3,FALSE))</f>
      </c>
      <c r="AQ80" t="s" s="285">
        <f>IF(D80="","",IF(AX80="Distinctiveness","N/A",VLOOKUP(F80,'10. Condition and Temporal'!$B$6:$L$103,11,FALSE)))</f>
      </c>
      <c r="AR80" t="s" s="313">
        <f>IF(AQ80="","",IF(AQ80="N/A","1",VLOOKUP(AQ80,'11. Lists'!$I$47:$K$80,3,FALSE)))</f>
      </c>
      <c r="AS80" t="s" s="285">
        <f>IF(D80="","",IF(AX80="Condition","N/A",VLOOKUP(F80,'10. Condition and Temporal'!$B$6:$M$106,12,FALSE)))</f>
      </c>
      <c r="AT80" t="s" s="313">
        <f>IF(AS80="","",IF(AS80="N/A","1",VLOOKUP(AS80,'11. Lists'!$I$47:$K$80,3,FALSE)))</f>
      </c>
      <c r="AU80" t="s" s="285">
        <f>IF(D80="","",VLOOKUP(F80,'9. All Habitats + Multipliers'!$C$4:$K$102,8,FALSE))</f>
      </c>
      <c r="AV80" t="s" s="313">
        <f>IF(AU80="","",VLOOKUP(AU80,'11. Lists'!$J$35:$K$38,2,FALSE))</f>
      </c>
      <c r="AW80" t="s" s="295">
        <f>IF(D80="","",VLOOKUP(D80,'10. Condition and Temporal'!$B$6:$M$103,4,FALSE))</f>
      </c>
      <c r="AX80" t="s" s="295">
        <f>IF(F80="","",IF(D80=F80,"Condition","Distinctiveness"))</f>
      </c>
      <c r="AY80" t="s" s="522">
        <f>IF(COUNTIF(F80,"*grassland*"),"Grassland",IF(COUNTIF(F80,"*scree*"),"Sparsely vegetated land",C80))</f>
      </c>
      <c r="AZ80" s="472"/>
      <c r="BA80" s="401">
        <v>13</v>
      </c>
      <c r="BB80" t="s" s="291">
        <f>TRIM(MID(SUBSTITUTE($AW$68,$BA$64,REPT(" ",LEN($AW$68))),($BA80-1)*LEN($AW$68)+1,LEN($AW$68)))</f>
      </c>
      <c r="BC80" t="s" s="291">
        <f>TRIM(MID(SUBSTITUTE($AW$69,$BA$64,REPT(" ",LEN($AW$69))),($BA80-1)*LEN($AW$69)+1,LEN($AW$69)))</f>
      </c>
      <c r="BD80" t="s" s="291">
        <f>TRIM(MID(SUBSTITUTE($AW$70,$BA$64,REPT(" ",LEN($AW$70))),($BA80-1)*LEN($AW$70)+1,LEN($AW$70)))</f>
      </c>
      <c r="BE80" t="s" s="291">
        <f>TRIM(MID(SUBSTITUTE($AW$71,$BA$64,REPT(" ",LEN($AW$71))),($BA80-1)*LEN($AW$71)+1,LEN($AW$71)))</f>
      </c>
      <c r="BF80" t="s" s="291">
        <f>TRIM(MID(SUBSTITUTE($AW$72,$BA$64,REPT(" ",LEN($AW$72))),($BA80-1)*LEN($AW$72)+1,LEN($AW$72)))</f>
      </c>
      <c r="BG80" t="s" s="291">
        <f>TRIM(MID(SUBSTITUTE($AW$73,$BA$64,REPT(" ",LEN($AW$73))),($BA80-1)*LEN($AW$73)+1,LEN($AW$73)))</f>
      </c>
      <c r="BH80" t="s" s="291">
        <f>TRIM(MID(SUBSTITUTE($AW$74,$BA$64,REPT(" ",LEN($AW$74))),($BA80-1)*LEN($AW$74)+1,LEN($AW$74)))</f>
      </c>
      <c r="BI80" t="s" s="291">
        <f>TRIM(MID(SUBSTITUTE($AW$75,$BA$64,REPT(" ",LEN($AW$75))),($BA80-1)*LEN($AW$75)+1,LEN($AW$75)))</f>
      </c>
      <c r="BJ80" t="s" s="291">
        <f>TRIM(MID(SUBSTITUTE($AW$76,$BA$64,REPT(" ",LEN($AW$76))),($BA80-1)*LEN($AW$76)+1,LEN($AW$76)))</f>
      </c>
      <c r="BK80" t="s" s="291">
        <f>TRIM(MID(SUBSTITUTE($AW$77,$BA$64,REPT(" ",LEN($AW$77))),($BA80-1)*LEN($AW$77)+1,LEN($AW$77)))</f>
      </c>
      <c r="BL80" t="s" s="291">
        <f>TRIM(MID(SUBSTITUTE($AW$78,$BA$64,REPT(" ",LEN($AW$78))),($BA80-1)*LEN($AW$78)+1,LEN($AW$78)))</f>
      </c>
      <c r="BM80" t="s" s="291">
        <f>TRIM(MID(SUBSTITUTE($AW$79,$BA$64,REPT(" ",LEN($AW$79))),($BA80-1)*LEN($AW$79)+1,LEN($AW$79)))</f>
      </c>
      <c r="BN80" t="s" s="291">
        <f>TRIM(MID(SUBSTITUTE($AW$80,$BA$64,REPT(" ",LEN($AW$80))),($BA80-1)*LEN($AW$80)+1,LEN($AW$80)))</f>
      </c>
      <c r="BO80" t="s" s="291">
        <f>TRIM(MID(SUBSTITUTE($AW$81,$BA$64,REPT(" ",LEN($AW$81))),($BA80-1)*LEN($AW$81)+1,LEN($AW$81)))</f>
      </c>
      <c r="BP80" t="s" s="291">
        <f>TRIM(MID(SUBSTITUTE($AW$82,$BA$64,REPT(" ",LEN($AW$82))),($BA80-1)*LEN($AW$82)+1,LEN($AW$82)))</f>
      </c>
      <c r="BQ80" t="s" s="291">
        <f>TRIM(MID(SUBSTITUTE($AW$83,$BA$64,REPT(" ",LEN($AW$83))),($BA80-1)*LEN($AW$83)+1,LEN($AW$83)))</f>
      </c>
      <c r="BR80" t="s" s="291">
        <f>TRIM(MID(SUBSTITUTE($AW$84,$BA$64,REPT(" ",LEN($AW$84))),($BA80-1)*LEN($AW$84)+1,LEN($AW$84)))</f>
      </c>
      <c r="BS80" t="s" s="291">
        <f>TRIM(MID(SUBSTITUTE($AW$85,$BA$64,REPT(" ",LEN($AW$85))),($BA80-1)*LEN($AW$85)+1,LEN($AW$85)))</f>
      </c>
      <c r="BT80" t="s" s="291">
        <f>TRIM(MID(SUBSTITUTE($AW$86,$BA$64,REPT(" ",LEN($AW$86))),($BA80-1)*LEN($AW$86)+1,LEN($AW$86)))</f>
      </c>
      <c r="BU80" t="s" s="313">
        <f>TRIM(MID(SUBSTITUTE($AW$87,$BA$64,REPT(" ",LEN($AW$87))),($BA80-1)*LEN($AW$87)+1,LEN($AW$87)))</f>
      </c>
      <c r="BV80" t="s" s="285">
        <f>IF(BX80=0,"",CONCATENATE(BW80,"68:",BW80,BX80+67))</f>
      </c>
      <c r="BW80" t="s" s="291">
        <v>236</v>
      </c>
      <c r="BX80" s="518">
        <f>BN66</f>
        <v>0</v>
      </c>
      <c r="BY80" s="459"/>
      <c r="BZ80" s="161"/>
      <c r="CA80" s="161"/>
      <c r="CB80" s="161"/>
      <c r="CC80" s="161"/>
      <c r="CD80" s="161"/>
      <c r="CE80" s="161"/>
      <c r="CF80" s="161"/>
      <c r="CG80" s="161"/>
      <c r="CH80" s="161"/>
      <c r="CI80" s="161"/>
      <c r="CJ80" s="161"/>
      <c r="CK80" s="161"/>
      <c r="CL80" s="161"/>
      <c r="CM80" s="161"/>
      <c r="CN80" s="161"/>
      <c r="CO80" s="161"/>
      <c r="CP80" s="161"/>
      <c r="CQ80" s="161"/>
      <c r="CR80" s="161"/>
      <c r="CS80" s="161"/>
      <c r="CT80" s="161"/>
      <c r="CU80" s="161"/>
      <c r="CV80" s="161"/>
      <c r="CW80" s="161"/>
      <c r="CX80" s="161"/>
      <c r="CY80" s="161"/>
      <c r="CZ80" s="161"/>
      <c r="DA80" s="161"/>
      <c r="DB80" s="161"/>
      <c r="DC80" s="161"/>
      <c r="DD80" s="161"/>
      <c r="DE80" s="161"/>
      <c r="DF80" s="161"/>
      <c r="DG80" s="161"/>
      <c r="DH80" s="161"/>
      <c r="DI80" s="161"/>
      <c r="DJ80" s="161"/>
      <c r="DK80" s="161"/>
      <c r="DL80" s="161"/>
      <c r="DM80" s="161"/>
      <c r="DN80" s="161"/>
      <c r="DO80" s="161"/>
      <c r="DP80" s="161"/>
      <c r="DQ80" s="161"/>
      <c r="DR80" s="161"/>
      <c r="DS80" s="161"/>
      <c r="DT80" s="161"/>
      <c r="DU80" s="161"/>
      <c r="DV80" s="161"/>
      <c r="DW80" s="161"/>
      <c r="DX80" s="161"/>
    </row>
    <row r="81" ht="15.6" customHeight="1">
      <c r="A81" s="242"/>
      <c r="B81" s="296">
        <v>14</v>
      </c>
      <c r="C81" t="s" s="519">
        <f>IF(D81="","",C24)</f>
      </c>
      <c r="D81" t="s" s="520">
        <f>IF(OR(K24=0,K24=""),"",D24)</f>
      </c>
      <c r="E81" t="s" s="521">
        <f>IF(AX81="","",AX81)</f>
      </c>
      <c r="F81" s="314"/>
      <c r="G81" s="315"/>
      <c r="H81" s="501"/>
      <c r="I81" t="s" s="502">
        <f>IF(OR(K24="",K24=0),"",K24)</f>
      </c>
      <c r="J81" t="s" s="503">
        <f>_xlfn.IFERROR(IF(F81="","",VLOOKUP(F81,'10. Condition and Temporal'!$B$6:$F$103,5,FALSE)),"Error ▲")</f>
      </c>
      <c r="K81" s="504"/>
      <c r="L81" t="s" s="418">
        <f>_xlfn.IFERROR(IF(D81="","",IF(AX81="Distinctiveness",(((((I81*AH81*AJ81)-(I81*V81*X81))*(AV81*AT81))+(I81*V81*X81))*(AP81))/10000,((((I81*AJ81*AH81)-(I81*V81*X81))*(AV81*AR81))+(I81*V81*X81))*AP81/10000)),"Error ▲")</f>
      </c>
      <c r="M81" t="s" s="311">
        <f>_xlfn.IFERROR(IF(F81="","",L81-AD81),"Error ▲")</f>
      </c>
      <c r="N81" s="414"/>
      <c r="O81" s="415"/>
      <c r="P81" s="315"/>
      <c r="Q81" s="380"/>
      <c r="R81" s="219"/>
      <c r="S81" s="381"/>
      <c r="T81" t="s" s="295">
        <f>IF(D81="","",K24)</f>
      </c>
      <c r="U81" t="s" s="285">
        <f>IF($D81="","",T24)</f>
      </c>
      <c r="V81" t="s" s="313">
        <f>IF($D81="","",V24)</f>
      </c>
      <c r="W81" t="s" s="285">
        <f>IF($D81="","",W24)</f>
      </c>
      <c r="X81" t="s" s="313">
        <f>IF($D81="","",X24)</f>
      </c>
      <c r="Y81" s="510"/>
      <c r="Z81" s="511"/>
      <c r="AA81" s="512"/>
      <c r="AB81" t="s" s="285">
        <f>IF($D81="","",AB24)</f>
      </c>
      <c r="AC81" t="s" s="313">
        <f>IF($D81="","",AD24)</f>
      </c>
      <c r="AD81" t="s" s="295">
        <f>IF(AC81="","",(T81*V81*X81)*AC81/10000)</f>
      </c>
      <c r="AE81" t="s" s="295">
        <f>IF(AD81="","",IF(AH81&lt;V81,"Not Acceptable","Acceptable"))</f>
      </c>
      <c r="AF81" t="s" s="295">
        <f>IF(D81="","",I81)</f>
      </c>
      <c r="AG81" t="s" s="285">
        <f>IF(D81="","",VLOOKUP(F81,'9. All Habitats + Multipliers'!$C$4:$K$102,5,FALSE))</f>
      </c>
      <c r="AH81" t="s" s="313">
        <f>IF(AG81="","",VLOOKUP(AG81,'11. Lists'!$B$47:$D$49,2,FALSE))</f>
      </c>
      <c r="AI81" t="s" s="285">
        <f>IF(D81="","",J81)</f>
      </c>
      <c r="AJ81" t="s" s="313">
        <f>IF(AI81="","",VLOOKUP(AI81,'11. Lists'!$F$47:$G$51,2,FALSE))</f>
      </c>
      <c r="AK81" s="510"/>
      <c r="AL81" s="511"/>
      <c r="AM81" s="512"/>
      <c r="AN81" t="s" s="285">
        <f>IF(H81="","",H81)</f>
      </c>
      <c r="AO81" t="s" s="291">
        <f>IF(AN81="","",VLOOKUP(AN81,'11. Lists'!$F$36:$H$38,2,FALSE))</f>
      </c>
      <c r="AP81" t="s" s="313">
        <f>IF(AN81="","",VLOOKUP(AN81,'11. Lists'!$F$36:$H$38,3,FALSE))</f>
      </c>
      <c r="AQ81" t="s" s="285">
        <f>IF(D81="","",IF(AX81="Distinctiveness","N/A",VLOOKUP(F81,'10. Condition and Temporal'!$B$6:$L$103,11,FALSE)))</f>
      </c>
      <c r="AR81" t="s" s="313">
        <f>IF(AQ81="","",IF(AQ81="N/A","1",VLOOKUP(AQ81,'11. Lists'!$I$47:$K$80,3,FALSE)))</f>
      </c>
      <c r="AS81" t="s" s="285">
        <f>IF(D81="","",IF(AX81="Condition","N/A",VLOOKUP(F81,'10. Condition and Temporal'!$B$6:$M$106,12,FALSE)))</f>
      </c>
      <c r="AT81" t="s" s="313">
        <f>IF(AS81="","",IF(AS81="N/A","1",VLOOKUP(AS81,'11. Lists'!$I$47:$K$80,3,FALSE)))</f>
      </c>
      <c r="AU81" t="s" s="285">
        <f>IF(D81="","",VLOOKUP(F81,'9. All Habitats + Multipliers'!$C$4:$K$102,8,FALSE))</f>
      </c>
      <c r="AV81" t="s" s="313">
        <f>IF(AU81="","",VLOOKUP(AU81,'11. Lists'!$J$35:$K$38,2,FALSE))</f>
      </c>
      <c r="AW81" t="s" s="295">
        <f>IF(D81="","",VLOOKUP(D81,'10. Condition and Temporal'!$B$6:$M$103,4,FALSE))</f>
      </c>
      <c r="AX81" t="s" s="295">
        <f>IF(F81="","",IF(D81=F81,"Condition","Distinctiveness"))</f>
      </c>
      <c r="AY81" t="s" s="522">
        <f>IF(COUNTIF(F81,"*grassland*"),"Grassland",IF(COUNTIF(F81,"*scree*"),"Sparsely vegetated land",C81))</f>
      </c>
      <c r="AZ81" s="472"/>
      <c r="BA81" s="401">
        <v>14</v>
      </c>
      <c r="BB81" t="s" s="291">
        <f>TRIM(MID(SUBSTITUTE($AW$68,$BA$64,REPT(" ",LEN($AW$68))),($BA81-1)*LEN($AW$68)+1,LEN($AW$68)))</f>
      </c>
      <c r="BC81" t="s" s="291">
        <f>TRIM(MID(SUBSTITUTE($AW$69,$BA$64,REPT(" ",LEN($AW$69))),($BA81-1)*LEN($AW$69)+1,LEN($AW$69)))</f>
      </c>
      <c r="BD81" t="s" s="291">
        <f>TRIM(MID(SUBSTITUTE($AW$70,$BA$64,REPT(" ",LEN($AW$70))),($BA81-1)*LEN($AW$70)+1,LEN($AW$70)))</f>
      </c>
      <c r="BE81" t="s" s="291">
        <f>TRIM(MID(SUBSTITUTE($AW$71,$BA$64,REPT(" ",LEN($AW$71))),($BA81-1)*LEN($AW$71)+1,LEN($AW$71)))</f>
      </c>
      <c r="BF81" t="s" s="291">
        <f>TRIM(MID(SUBSTITUTE($AW$72,$BA$64,REPT(" ",LEN($AW$72))),($BA81-1)*LEN($AW$72)+1,LEN($AW$72)))</f>
      </c>
      <c r="BG81" t="s" s="291">
        <f>TRIM(MID(SUBSTITUTE($AW$73,$BA$64,REPT(" ",LEN($AW$73))),($BA81-1)*LEN($AW$73)+1,LEN($AW$73)))</f>
      </c>
      <c r="BH81" t="s" s="291">
        <f>TRIM(MID(SUBSTITUTE($AW$74,$BA$64,REPT(" ",LEN($AW$74))),($BA81-1)*LEN($AW$74)+1,LEN($AW$74)))</f>
      </c>
      <c r="BI81" t="s" s="291">
        <f>TRIM(MID(SUBSTITUTE($AW$75,$BA$64,REPT(" ",LEN($AW$75))),($BA81-1)*LEN($AW$75)+1,LEN($AW$75)))</f>
      </c>
      <c r="BJ81" t="s" s="291">
        <f>TRIM(MID(SUBSTITUTE($AW$76,$BA$64,REPT(" ",LEN($AW$76))),($BA81-1)*LEN($AW$76)+1,LEN($AW$76)))</f>
      </c>
      <c r="BK81" t="s" s="291">
        <f>TRIM(MID(SUBSTITUTE($AW$77,$BA$64,REPT(" ",LEN($AW$77))),($BA81-1)*LEN($AW$77)+1,LEN($AW$77)))</f>
      </c>
      <c r="BL81" t="s" s="291">
        <f>TRIM(MID(SUBSTITUTE($AW$78,$BA$64,REPT(" ",LEN($AW$78))),($BA81-1)*LEN($AW$78)+1,LEN($AW$78)))</f>
      </c>
      <c r="BM81" t="s" s="291">
        <f>TRIM(MID(SUBSTITUTE($AW$79,$BA$64,REPT(" ",LEN($AW$79))),($BA81-1)*LEN($AW$79)+1,LEN($AW$79)))</f>
      </c>
      <c r="BN81" t="s" s="291">
        <f>TRIM(MID(SUBSTITUTE($AW$80,$BA$64,REPT(" ",LEN($AW$80))),($BA81-1)*LEN($AW$80)+1,LEN($AW$80)))</f>
      </c>
      <c r="BO81" t="s" s="291">
        <f>TRIM(MID(SUBSTITUTE($AW$81,$BA$64,REPT(" ",LEN($AW$81))),($BA81-1)*LEN($AW$81)+1,LEN($AW$81)))</f>
      </c>
      <c r="BP81" t="s" s="291">
        <f>TRIM(MID(SUBSTITUTE($AW$82,$BA$64,REPT(" ",LEN($AW$82))),($BA81-1)*LEN($AW$82)+1,LEN($AW$82)))</f>
      </c>
      <c r="BQ81" t="s" s="291">
        <f>TRIM(MID(SUBSTITUTE($AW$83,$BA$64,REPT(" ",LEN($AW$83))),($BA81-1)*LEN($AW$83)+1,LEN($AW$83)))</f>
      </c>
      <c r="BR81" t="s" s="291">
        <f>TRIM(MID(SUBSTITUTE($AW$84,$BA$64,REPT(" ",LEN($AW$84))),($BA81-1)*LEN($AW$84)+1,LEN($AW$84)))</f>
      </c>
      <c r="BS81" t="s" s="291">
        <f>TRIM(MID(SUBSTITUTE($AW$85,$BA$64,REPT(" ",LEN($AW$85))),($BA81-1)*LEN($AW$85)+1,LEN($AW$85)))</f>
      </c>
      <c r="BT81" t="s" s="291">
        <f>TRIM(MID(SUBSTITUTE($AW$86,$BA$64,REPT(" ",LEN($AW$86))),($BA81-1)*LEN($AW$86)+1,LEN($AW$86)))</f>
      </c>
      <c r="BU81" t="s" s="313">
        <f>TRIM(MID(SUBSTITUTE($AW$87,$BA$64,REPT(" ",LEN($AW$87))),($BA81-1)*LEN($AW$87)+1,LEN($AW$87)))</f>
      </c>
      <c r="BV81" t="s" s="285">
        <f>IF(BX81=0,"",CONCATENATE(BW81,"68:",BW81,BX81+67))</f>
      </c>
      <c r="BW81" t="s" s="291">
        <v>237</v>
      </c>
      <c r="BX81" s="518">
        <f>BO66</f>
        <v>0</v>
      </c>
      <c r="BY81" s="459"/>
      <c r="BZ81" s="161"/>
      <c r="CA81" s="161"/>
      <c r="CB81" s="161"/>
      <c r="CC81" s="161"/>
      <c r="CD81" s="161"/>
      <c r="CE81" s="161"/>
      <c r="CF81" s="161"/>
      <c r="CG81" s="161"/>
      <c r="CH81" s="161"/>
      <c r="CI81" s="161"/>
      <c r="CJ81" s="161"/>
      <c r="CK81" s="161"/>
      <c r="CL81" s="161"/>
      <c r="CM81" s="161"/>
      <c r="CN81" s="161"/>
      <c r="CO81" s="161"/>
      <c r="CP81" s="161"/>
      <c r="CQ81" s="161"/>
      <c r="CR81" s="161"/>
      <c r="CS81" s="161"/>
      <c r="CT81" s="161"/>
      <c r="CU81" s="161"/>
      <c r="CV81" s="161"/>
      <c r="CW81" s="161"/>
      <c r="CX81" s="161"/>
      <c r="CY81" s="161"/>
      <c r="CZ81" s="161"/>
      <c r="DA81" s="161"/>
      <c r="DB81" s="161"/>
      <c r="DC81" s="161"/>
      <c r="DD81" s="161"/>
      <c r="DE81" s="161"/>
      <c r="DF81" s="161"/>
      <c r="DG81" s="161"/>
      <c r="DH81" s="161"/>
      <c r="DI81" s="161"/>
      <c r="DJ81" s="161"/>
      <c r="DK81" s="161"/>
      <c r="DL81" s="161"/>
      <c r="DM81" s="161"/>
      <c r="DN81" s="161"/>
      <c r="DO81" s="161"/>
      <c r="DP81" s="161"/>
      <c r="DQ81" s="161"/>
      <c r="DR81" s="161"/>
      <c r="DS81" s="161"/>
      <c r="DT81" s="161"/>
      <c r="DU81" s="161"/>
      <c r="DV81" s="161"/>
      <c r="DW81" s="161"/>
      <c r="DX81" s="161"/>
    </row>
    <row r="82" ht="15.6" customHeight="1">
      <c r="A82" s="242"/>
      <c r="B82" s="296">
        <v>15</v>
      </c>
      <c r="C82" t="s" s="519">
        <f>IF(D82="","",C25)</f>
      </c>
      <c r="D82" t="s" s="520">
        <f>IF(OR(K25=0,K25=""),"",D25)</f>
      </c>
      <c r="E82" t="s" s="521">
        <f>IF(AX82="","",AX82)</f>
      </c>
      <c r="F82" s="314"/>
      <c r="G82" s="315"/>
      <c r="H82" s="501"/>
      <c r="I82" t="s" s="502">
        <f>IF(OR(K25="",K25=0),"",K25)</f>
      </c>
      <c r="J82" t="s" s="503">
        <f>_xlfn.IFERROR(IF(F82="","",VLOOKUP(F82,'10. Condition and Temporal'!$B$6:$F$103,5,FALSE)),"Error ▲")</f>
      </c>
      <c r="K82" s="504"/>
      <c r="L82" t="s" s="418">
        <f>_xlfn.IFERROR(IF(D82="","",IF(AX82="Distinctiveness",(((((I82*AH82*AJ82)-(I82*V82*X82))*(AV82*AT82))+(I82*V82*X82))*(AP82))/10000,((((I82*AJ82*AH82)-(I82*V82*X82))*(AV82*AR82))+(I82*V82*X82))*AP82/10000)),"Error ▲")</f>
      </c>
      <c r="M82" t="s" s="311">
        <f>_xlfn.IFERROR(IF(F82="","",L82-AD82),"Error ▲")</f>
      </c>
      <c r="N82" s="414"/>
      <c r="O82" s="415"/>
      <c r="P82" s="315"/>
      <c r="Q82" s="380"/>
      <c r="R82" s="219"/>
      <c r="S82" s="381"/>
      <c r="T82" t="s" s="295">
        <f>IF(D82="","",K25)</f>
      </c>
      <c r="U82" t="s" s="285">
        <f>IF($D82="","",T25)</f>
      </c>
      <c r="V82" t="s" s="313">
        <f>IF($D82="","",V25)</f>
      </c>
      <c r="W82" t="s" s="285">
        <f>IF($D82="","",W25)</f>
      </c>
      <c r="X82" t="s" s="313">
        <f>IF($D82="","",X25)</f>
      </c>
      <c r="Y82" s="510"/>
      <c r="Z82" s="511"/>
      <c r="AA82" s="512"/>
      <c r="AB82" t="s" s="285">
        <f>IF($D82="","",AB25)</f>
      </c>
      <c r="AC82" t="s" s="313">
        <f>IF($D82="","",AD25)</f>
      </c>
      <c r="AD82" t="s" s="295">
        <f>IF(AC82="","",(T82*V82*X82)*AC82/10000)</f>
      </c>
      <c r="AE82" t="s" s="295">
        <f>IF(AD82="","",IF(AH82&lt;V82,"Not Acceptable","Acceptable"))</f>
      </c>
      <c r="AF82" t="s" s="295">
        <f>IF(D82="","",I82)</f>
      </c>
      <c r="AG82" t="s" s="285">
        <f>IF(D82="","",VLOOKUP(F82,'9. All Habitats + Multipliers'!$C$4:$K$102,5,FALSE))</f>
      </c>
      <c r="AH82" t="s" s="313">
        <f>IF(AG82="","",VLOOKUP(AG82,'11. Lists'!$B$47:$D$49,2,FALSE))</f>
      </c>
      <c r="AI82" t="s" s="285">
        <f>IF(D82="","",J82)</f>
      </c>
      <c r="AJ82" t="s" s="313">
        <f>IF(AI82="","",VLOOKUP(AI82,'11. Lists'!$F$47:$G$51,2,FALSE))</f>
      </c>
      <c r="AK82" s="510"/>
      <c r="AL82" s="511"/>
      <c r="AM82" s="512"/>
      <c r="AN82" t="s" s="285">
        <f>IF(H82="","",H82)</f>
      </c>
      <c r="AO82" t="s" s="291">
        <f>IF(AN82="","",VLOOKUP(AN82,'11. Lists'!$F$36:$H$38,2,FALSE))</f>
      </c>
      <c r="AP82" t="s" s="313">
        <f>IF(AN82="","",VLOOKUP(AN82,'11. Lists'!$F$36:$H$38,3,FALSE))</f>
      </c>
      <c r="AQ82" t="s" s="285">
        <f>IF(D82="","",IF(AX82="Distinctiveness","N/A",VLOOKUP(F82,'10. Condition and Temporal'!$B$6:$L$103,11,FALSE)))</f>
      </c>
      <c r="AR82" t="s" s="313">
        <f>IF(AQ82="","",IF(AQ82="N/A","1",VLOOKUP(AQ82,'11. Lists'!$I$47:$K$80,3,FALSE)))</f>
      </c>
      <c r="AS82" t="s" s="285">
        <f>IF(D82="","",IF(AX82="Condition","N/A",VLOOKUP(F82,'10. Condition and Temporal'!$B$6:$M$106,12,FALSE)))</f>
      </c>
      <c r="AT82" t="s" s="313">
        <f>IF(AS82="","",IF(AS82="N/A","1",VLOOKUP(AS82,'11. Lists'!$I$47:$K$80,3,FALSE)))</f>
      </c>
      <c r="AU82" t="s" s="285">
        <f>IF(D82="","",VLOOKUP(F82,'9. All Habitats + Multipliers'!$C$4:$K$102,8,FALSE))</f>
      </c>
      <c r="AV82" t="s" s="313">
        <f>IF(AU82="","",VLOOKUP(AU82,'11. Lists'!$J$35:$K$38,2,FALSE))</f>
      </c>
      <c r="AW82" t="s" s="295">
        <f>IF(D82="","",VLOOKUP(D82,'10. Condition and Temporal'!$B$6:$M$103,4,FALSE))</f>
      </c>
      <c r="AX82" t="s" s="295">
        <f>IF(F82="","",IF(D82=F82,"Condition","Distinctiveness"))</f>
      </c>
      <c r="AY82" t="s" s="522">
        <f>IF(COUNTIF(F82,"*grassland*"),"Grassland",IF(COUNTIF(F82,"*scree*"),"Sparsely vegetated land",C82))</f>
      </c>
      <c r="AZ82" s="472"/>
      <c r="BA82" s="401">
        <v>15</v>
      </c>
      <c r="BB82" t="s" s="291">
        <f>TRIM(MID(SUBSTITUTE($AW$68,$BA$64,REPT(" ",LEN($AW$68))),($BA82-1)*LEN($AW$68)+1,LEN($AW$68)))</f>
      </c>
      <c r="BC82" t="s" s="291">
        <f>TRIM(MID(SUBSTITUTE($AW$69,$BA$64,REPT(" ",LEN($AW$69))),($BA82-1)*LEN($AW$69)+1,LEN($AW$69)))</f>
      </c>
      <c r="BD82" t="s" s="291">
        <f>TRIM(MID(SUBSTITUTE($AW$70,$BA$64,REPT(" ",LEN($AW$70))),($BA82-1)*LEN($AW$70)+1,LEN($AW$70)))</f>
      </c>
      <c r="BE82" t="s" s="291">
        <f>TRIM(MID(SUBSTITUTE($AW$71,$BA$64,REPT(" ",LEN($AW$71))),($BA82-1)*LEN($AW$71)+1,LEN($AW$71)))</f>
      </c>
      <c r="BF82" t="s" s="291">
        <f>TRIM(MID(SUBSTITUTE($AW$72,$BA$64,REPT(" ",LEN($AW$72))),($BA82-1)*LEN($AW$72)+1,LEN($AW$72)))</f>
      </c>
      <c r="BG82" t="s" s="291">
        <f>TRIM(MID(SUBSTITUTE($AW$73,$BA$64,REPT(" ",LEN($AW$73))),($BA82-1)*LEN($AW$73)+1,LEN($AW$73)))</f>
      </c>
      <c r="BH82" t="s" s="291">
        <f>TRIM(MID(SUBSTITUTE($AW$74,$BA$64,REPT(" ",LEN($AW$74))),($BA82-1)*LEN($AW$74)+1,LEN($AW$74)))</f>
      </c>
      <c r="BI82" t="s" s="291">
        <f>TRIM(MID(SUBSTITUTE($AW$75,$BA$64,REPT(" ",LEN($AW$75))),($BA82-1)*LEN($AW$75)+1,LEN($AW$75)))</f>
      </c>
      <c r="BJ82" t="s" s="291">
        <f>TRIM(MID(SUBSTITUTE($AW$76,$BA$64,REPT(" ",LEN($AW$76))),($BA82-1)*LEN($AW$76)+1,LEN($AW$76)))</f>
      </c>
      <c r="BK82" t="s" s="291">
        <f>TRIM(MID(SUBSTITUTE($AW$77,$BA$64,REPT(" ",LEN($AW$77))),($BA82-1)*LEN($AW$77)+1,LEN($AW$77)))</f>
      </c>
      <c r="BL82" t="s" s="291">
        <f>TRIM(MID(SUBSTITUTE($AW$78,$BA$64,REPT(" ",LEN($AW$78))),($BA82-1)*LEN($AW$78)+1,LEN($AW$78)))</f>
      </c>
      <c r="BM82" t="s" s="291">
        <f>TRIM(MID(SUBSTITUTE($AW$79,$BA$64,REPT(" ",LEN($AW$79))),($BA82-1)*LEN($AW$79)+1,LEN($AW$79)))</f>
      </c>
      <c r="BN82" t="s" s="291">
        <f>TRIM(MID(SUBSTITUTE($AW$80,$BA$64,REPT(" ",LEN($AW$80))),($BA82-1)*LEN($AW$80)+1,LEN($AW$80)))</f>
      </c>
      <c r="BO82" t="s" s="291">
        <f>TRIM(MID(SUBSTITUTE($AW$81,$BA$64,REPT(" ",LEN($AW$81))),($BA82-1)*LEN($AW$81)+1,LEN($AW$81)))</f>
      </c>
      <c r="BP82" t="s" s="291">
        <f>TRIM(MID(SUBSTITUTE($AW$82,$BA$64,REPT(" ",LEN($AW$82))),($BA82-1)*LEN($AW$82)+1,LEN($AW$82)))</f>
      </c>
      <c r="BQ82" t="s" s="291">
        <f>TRIM(MID(SUBSTITUTE($AW$83,$BA$64,REPT(" ",LEN($AW$83))),($BA82-1)*LEN($AW$83)+1,LEN($AW$83)))</f>
      </c>
      <c r="BR82" t="s" s="291">
        <f>TRIM(MID(SUBSTITUTE($AW$84,$BA$64,REPT(" ",LEN($AW$84))),($BA82-1)*LEN($AW$84)+1,LEN($AW$84)))</f>
      </c>
      <c r="BS82" t="s" s="291">
        <f>TRIM(MID(SUBSTITUTE($AW$85,$BA$64,REPT(" ",LEN($AW$85))),($BA82-1)*LEN($AW$85)+1,LEN($AW$85)))</f>
      </c>
      <c r="BT82" t="s" s="291">
        <f>TRIM(MID(SUBSTITUTE($AW$86,$BA$64,REPT(" ",LEN($AW$86))),($BA82-1)*LEN($AW$86)+1,LEN($AW$86)))</f>
      </c>
      <c r="BU82" t="s" s="313">
        <f>TRIM(MID(SUBSTITUTE($AW$87,$BA$64,REPT(" ",LEN($AW$87))),($BA82-1)*LEN($AW$87)+1,LEN($AW$87)))</f>
      </c>
      <c r="BV82" t="s" s="285">
        <f>IF(BX82=0,"",CONCATENATE(BW82,"68:",BW82,BX82+67))</f>
      </c>
      <c r="BW82" t="s" s="291">
        <v>238</v>
      </c>
      <c r="BX82" s="518">
        <f>BP66</f>
        <v>0</v>
      </c>
      <c r="BY82" s="459"/>
      <c r="BZ82" s="161"/>
      <c r="CA82" s="161"/>
      <c r="CB82" s="161"/>
      <c r="CC82" s="161"/>
      <c r="CD82" s="161"/>
      <c r="CE82" s="161"/>
      <c r="CF82" s="161"/>
      <c r="CG82" s="161"/>
      <c r="CH82" s="161"/>
      <c r="CI82" s="161"/>
      <c r="CJ82" s="161"/>
      <c r="CK82" s="161"/>
      <c r="CL82" s="161"/>
      <c r="CM82" s="161"/>
      <c r="CN82" s="161"/>
      <c r="CO82" s="161"/>
      <c r="CP82" s="161"/>
      <c r="CQ82" s="161"/>
      <c r="CR82" s="161"/>
      <c r="CS82" s="161"/>
      <c r="CT82" s="161"/>
      <c r="CU82" s="161"/>
      <c r="CV82" s="161"/>
      <c r="CW82" s="161"/>
      <c r="CX82" s="161"/>
      <c r="CY82" s="161"/>
      <c r="CZ82" s="161"/>
      <c r="DA82" s="161"/>
      <c r="DB82" s="161"/>
      <c r="DC82" s="161"/>
      <c r="DD82" s="161"/>
      <c r="DE82" s="161"/>
      <c r="DF82" s="161"/>
      <c r="DG82" s="161"/>
      <c r="DH82" s="161"/>
      <c r="DI82" s="161"/>
      <c r="DJ82" s="161"/>
      <c r="DK82" s="161"/>
      <c r="DL82" s="161"/>
      <c r="DM82" s="161"/>
      <c r="DN82" s="161"/>
      <c r="DO82" s="161"/>
      <c r="DP82" s="161"/>
      <c r="DQ82" s="161"/>
      <c r="DR82" s="161"/>
      <c r="DS82" s="161"/>
      <c r="DT82" s="161"/>
      <c r="DU82" s="161"/>
      <c r="DV82" s="161"/>
      <c r="DW82" s="161"/>
      <c r="DX82" s="161"/>
    </row>
    <row r="83" ht="15.6" customHeight="1">
      <c r="A83" s="242"/>
      <c r="B83" s="296">
        <v>16</v>
      </c>
      <c r="C83" t="s" s="519">
        <f>IF(D83="","",C26)</f>
      </c>
      <c r="D83" t="s" s="520">
        <f>IF(OR(K26=0,K26=""),"",D26)</f>
      </c>
      <c r="E83" t="s" s="521">
        <f>IF(AX83="","",AX83)</f>
      </c>
      <c r="F83" s="314"/>
      <c r="G83" s="315"/>
      <c r="H83" s="501"/>
      <c r="I83" t="s" s="502">
        <f>IF(OR(K26="",K26=0),"",K26)</f>
      </c>
      <c r="J83" t="s" s="503">
        <f>_xlfn.IFERROR(IF(F83="","",VLOOKUP(F83,'10. Condition and Temporal'!$B$6:$F$103,5,FALSE)),"Error ▲")</f>
      </c>
      <c r="K83" s="504"/>
      <c r="L83" t="s" s="418">
        <f>_xlfn.IFERROR(IF(D83="","",IF(AX83="Distinctiveness",(((((I83*AH83*AJ83)-(I83*V83*X83))*(AV83*AT83))+(I83*V83*X83))*(AP83))/10000,((((I83*AJ83*AH83)-(I83*V83*X83))*(AV83*AR83))+(I83*V83*X83))*AP83/10000)),"Error ▲")</f>
      </c>
      <c r="M83" t="s" s="311">
        <f>_xlfn.IFERROR(IF(F83="","",L83-AD83),"Error ▲")</f>
      </c>
      <c r="N83" s="414"/>
      <c r="O83" s="415"/>
      <c r="P83" s="315"/>
      <c r="Q83" s="380"/>
      <c r="R83" s="219"/>
      <c r="S83" s="381"/>
      <c r="T83" t="s" s="295">
        <f>IF(D83="","",K26)</f>
      </c>
      <c r="U83" t="s" s="285">
        <f>IF($D83="","",T26)</f>
      </c>
      <c r="V83" t="s" s="313">
        <f>IF($D83="","",V26)</f>
      </c>
      <c r="W83" t="s" s="285">
        <f>IF($D83="","",W26)</f>
      </c>
      <c r="X83" t="s" s="313">
        <f>IF($D83="","",X26)</f>
      </c>
      <c r="Y83" s="510"/>
      <c r="Z83" s="511"/>
      <c r="AA83" s="512"/>
      <c r="AB83" t="s" s="285">
        <f>IF($D83="","",AB26)</f>
      </c>
      <c r="AC83" t="s" s="313">
        <f>IF($D83="","",AD26)</f>
      </c>
      <c r="AD83" t="s" s="295">
        <f>IF(AC83="","",(T83*V83*X83)*AC83/10000)</f>
      </c>
      <c r="AE83" t="s" s="295">
        <f>IF(AD83="","",IF(AH83&lt;V83,"Not Acceptable","Acceptable"))</f>
      </c>
      <c r="AF83" t="s" s="295">
        <f>IF(D83="","",I83)</f>
      </c>
      <c r="AG83" t="s" s="285">
        <f>IF(D83="","",VLOOKUP(F83,'9. All Habitats + Multipliers'!$C$4:$K$102,5,FALSE))</f>
      </c>
      <c r="AH83" t="s" s="313">
        <f>IF(AG83="","",VLOOKUP(AG83,'11. Lists'!$B$47:$D$49,2,FALSE))</f>
      </c>
      <c r="AI83" t="s" s="285">
        <f>IF(D83="","",J83)</f>
      </c>
      <c r="AJ83" t="s" s="313">
        <f>IF(AI83="","",VLOOKUP(AI83,'11. Lists'!$F$47:$G$51,2,FALSE))</f>
      </c>
      <c r="AK83" s="510"/>
      <c r="AL83" s="511"/>
      <c r="AM83" s="512"/>
      <c r="AN83" t="s" s="285">
        <f>IF(H83="","",H83)</f>
      </c>
      <c r="AO83" t="s" s="291">
        <f>IF(AN83="","",VLOOKUP(AN83,'11. Lists'!$F$36:$H$38,2,FALSE))</f>
      </c>
      <c r="AP83" t="s" s="313">
        <f>IF(AN83="","",VLOOKUP(AN83,'11. Lists'!$F$36:$H$38,3,FALSE))</f>
      </c>
      <c r="AQ83" t="s" s="285">
        <f>IF(D83="","",IF(AX83="Distinctiveness","N/A",VLOOKUP(F83,'10. Condition and Temporal'!$B$6:$L$103,11,FALSE)))</f>
      </c>
      <c r="AR83" t="s" s="313">
        <f>IF(AQ83="","",IF(AQ83="N/A","1",VLOOKUP(AQ83,'11. Lists'!$I$47:$K$80,3,FALSE)))</f>
      </c>
      <c r="AS83" t="s" s="285">
        <f>IF(D83="","",IF(AX83="Condition","N/A",VLOOKUP(F83,'10. Condition and Temporal'!$B$6:$M$106,12,FALSE)))</f>
      </c>
      <c r="AT83" t="s" s="313">
        <f>IF(AS83="","",IF(AS83="N/A","1",VLOOKUP(AS83,'11. Lists'!$I$47:$K$80,3,FALSE)))</f>
      </c>
      <c r="AU83" t="s" s="285">
        <f>IF(D83="","",VLOOKUP(F83,'9. All Habitats + Multipliers'!$C$4:$K$102,8,FALSE))</f>
      </c>
      <c r="AV83" t="s" s="313">
        <f>IF(AU83="","",VLOOKUP(AU83,'11. Lists'!$J$35:$K$38,2,FALSE))</f>
      </c>
      <c r="AW83" t="s" s="295">
        <f>IF(D83="","",VLOOKUP(D83,'10. Condition and Temporal'!$B$6:$M$103,4,FALSE))</f>
      </c>
      <c r="AX83" t="s" s="295">
        <f>IF(F83="","",IF(D83=F83,"Condition","Distinctiveness"))</f>
      </c>
      <c r="AY83" t="s" s="522">
        <f>IF(COUNTIF(F83,"*grassland*"),"Grassland",IF(COUNTIF(F83,"*scree*"),"Sparsely vegetated land",C83))</f>
      </c>
      <c r="AZ83" s="472"/>
      <c r="BA83" s="401">
        <v>16</v>
      </c>
      <c r="BB83" t="s" s="291">
        <f>TRIM(MID(SUBSTITUTE($AW$68,$BA$64,REPT(" ",LEN($AW$68))),($BA83-1)*LEN($AW$68)+1,LEN($AW$68)))</f>
      </c>
      <c r="BC83" t="s" s="291">
        <f>TRIM(MID(SUBSTITUTE($AW$69,$BA$64,REPT(" ",LEN($AW$69))),($BA83-1)*LEN($AW$69)+1,LEN($AW$69)))</f>
      </c>
      <c r="BD83" t="s" s="291">
        <f>TRIM(MID(SUBSTITUTE($AW$70,$BA$64,REPT(" ",LEN($AW$70))),($BA83-1)*LEN($AW$70)+1,LEN($AW$70)))</f>
      </c>
      <c r="BE83" t="s" s="291">
        <f>TRIM(MID(SUBSTITUTE($AW$71,$BA$64,REPT(" ",LEN($AW$71))),($BA83-1)*LEN($AW$71)+1,LEN($AW$71)))</f>
      </c>
      <c r="BF83" t="s" s="291">
        <f>TRIM(MID(SUBSTITUTE($AW$72,$BA$64,REPT(" ",LEN($AW$72))),($BA83-1)*LEN($AW$72)+1,LEN($AW$72)))</f>
      </c>
      <c r="BG83" t="s" s="291">
        <f>TRIM(MID(SUBSTITUTE($AW$73,$BA$64,REPT(" ",LEN($AW$73))),($BA83-1)*LEN($AW$73)+1,LEN($AW$73)))</f>
      </c>
      <c r="BH83" t="s" s="291">
        <f>TRIM(MID(SUBSTITUTE($AW$74,$BA$64,REPT(" ",LEN($AW$74))),($BA83-1)*LEN($AW$74)+1,LEN($AW$74)))</f>
      </c>
      <c r="BI83" t="s" s="291">
        <f>TRIM(MID(SUBSTITUTE($AW$75,$BA$64,REPT(" ",LEN($AW$75))),($BA83-1)*LEN($AW$75)+1,LEN($AW$75)))</f>
      </c>
      <c r="BJ83" t="s" s="291">
        <f>TRIM(MID(SUBSTITUTE($AW$76,$BA$64,REPT(" ",LEN($AW$76))),($BA83-1)*LEN($AW$76)+1,LEN($AW$76)))</f>
      </c>
      <c r="BK83" t="s" s="291">
        <f>TRIM(MID(SUBSTITUTE($AW$77,$BA$64,REPT(" ",LEN($AW$77))),($BA83-1)*LEN($AW$77)+1,LEN($AW$77)))</f>
      </c>
      <c r="BL83" t="s" s="291">
        <f>TRIM(MID(SUBSTITUTE($AW$78,$BA$64,REPT(" ",LEN($AW$78))),($BA83-1)*LEN($AW$78)+1,LEN($AW$78)))</f>
      </c>
      <c r="BM83" t="s" s="291">
        <f>TRIM(MID(SUBSTITUTE($AW$79,$BA$64,REPT(" ",LEN($AW$79))),($BA83-1)*LEN($AW$79)+1,LEN($AW$79)))</f>
      </c>
      <c r="BN83" t="s" s="291">
        <f>TRIM(MID(SUBSTITUTE($AW$80,$BA$64,REPT(" ",LEN($AW$80))),($BA83-1)*LEN($AW$80)+1,LEN($AW$80)))</f>
      </c>
      <c r="BO83" t="s" s="291">
        <f>TRIM(MID(SUBSTITUTE($AW$81,$BA$64,REPT(" ",LEN($AW$81))),($BA83-1)*LEN($AW$81)+1,LEN($AW$81)))</f>
      </c>
      <c r="BP83" t="s" s="291">
        <f>TRIM(MID(SUBSTITUTE($AW$82,$BA$64,REPT(" ",LEN($AW$82))),($BA83-1)*LEN($AW$82)+1,LEN($AW$82)))</f>
      </c>
      <c r="BQ83" t="s" s="291">
        <f>TRIM(MID(SUBSTITUTE($AW$83,$BA$64,REPT(" ",LEN($AW$83))),($BA83-1)*LEN($AW$83)+1,LEN($AW$83)))</f>
      </c>
      <c r="BR83" t="s" s="291">
        <f>TRIM(MID(SUBSTITUTE($AW$84,$BA$64,REPT(" ",LEN($AW$84))),($BA83-1)*LEN($AW$84)+1,LEN($AW$84)))</f>
      </c>
      <c r="BS83" t="s" s="291">
        <f>TRIM(MID(SUBSTITUTE($AW$85,$BA$64,REPT(" ",LEN($AW$85))),($BA83-1)*LEN($AW$85)+1,LEN($AW$85)))</f>
      </c>
      <c r="BT83" t="s" s="291">
        <f>TRIM(MID(SUBSTITUTE($AW$86,$BA$64,REPT(" ",LEN($AW$86))),($BA83-1)*LEN($AW$86)+1,LEN($AW$86)))</f>
      </c>
      <c r="BU83" t="s" s="313">
        <f>TRIM(MID(SUBSTITUTE($AW$87,$BA$64,REPT(" ",LEN($AW$87))),($BA83-1)*LEN($AW$87)+1,LEN($AW$87)))</f>
      </c>
      <c r="BV83" t="s" s="285">
        <f>IF(BX83=0,"",CONCATENATE(BW83,"68:",BW83,BX83+67))</f>
      </c>
      <c r="BW83" t="s" s="291">
        <v>239</v>
      </c>
      <c r="BX83" s="518">
        <f>BQ66</f>
        <v>0</v>
      </c>
      <c r="BY83" s="459"/>
      <c r="BZ83" s="161"/>
      <c r="CA83" s="161"/>
      <c r="CB83" s="161"/>
      <c r="CC83" s="161"/>
      <c r="CD83" s="161"/>
      <c r="CE83" s="161"/>
      <c r="CF83" s="161"/>
      <c r="CG83" s="161"/>
      <c r="CH83" s="161"/>
      <c r="CI83" s="161"/>
      <c r="CJ83" s="161"/>
      <c r="CK83" s="161"/>
      <c r="CL83" s="161"/>
      <c r="CM83" s="161"/>
      <c r="CN83" s="161"/>
      <c r="CO83" s="161"/>
      <c r="CP83" s="161"/>
      <c r="CQ83" s="161"/>
      <c r="CR83" s="161"/>
      <c r="CS83" s="161"/>
      <c r="CT83" s="161"/>
      <c r="CU83" s="161"/>
      <c r="CV83" s="161"/>
      <c r="CW83" s="161"/>
      <c r="CX83" s="161"/>
      <c r="CY83" s="161"/>
      <c r="CZ83" s="161"/>
      <c r="DA83" s="161"/>
      <c r="DB83" s="161"/>
      <c r="DC83" s="161"/>
      <c r="DD83" s="161"/>
      <c r="DE83" s="161"/>
      <c r="DF83" s="161"/>
      <c r="DG83" s="161"/>
      <c r="DH83" s="161"/>
      <c r="DI83" s="161"/>
      <c r="DJ83" s="161"/>
      <c r="DK83" s="161"/>
      <c r="DL83" s="161"/>
      <c r="DM83" s="161"/>
      <c r="DN83" s="161"/>
      <c r="DO83" s="161"/>
      <c r="DP83" s="161"/>
      <c r="DQ83" s="161"/>
      <c r="DR83" s="161"/>
      <c r="DS83" s="161"/>
      <c r="DT83" s="161"/>
      <c r="DU83" s="161"/>
      <c r="DV83" s="161"/>
      <c r="DW83" s="161"/>
      <c r="DX83" s="161"/>
    </row>
    <row r="84" ht="15.6" customHeight="1">
      <c r="A84" s="242"/>
      <c r="B84" s="296">
        <v>17</v>
      </c>
      <c r="C84" t="s" s="519">
        <f>IF(D84="","",C27)</f>
      </c>
      <c r="D84" t="s" s="520">
        <f>IF(OR(K27=0,K27=""),"",D27)</f>
      </c>
      <c r="E84" t="s" s="521">
        <f>IF(AX84="","",AX84)</f>
      </c>
      <c r="F84" s="314"/>
      <c r="G84" s="315"/>
      <c r="H84" s="501"/>
      <c r="I84" t="s" s="502">
        <f>IF(OR(K27="",K27=0),"",K27)</f>
      </c>
      <c r="J84" t="s" s="503">
        <f>_xlfn.IFERROR(IF(F84="","",VLOOKUP(F84,'10. Condition and Temporal'!$B$6:$F$103,5,FALSE)),"Error ▲")</f>
      </c>
      <c r="K84" s="504"/>
      <c r="L84" t="s" s="418">
        <f>_xlfn.IFERROR(IF(D84="","",IF(AX84="Distinctiveness",(((((I84*AH84*AJ84)-(I84*V84*X84))*(AV84*AT84))+(I84*V84*X84))*(AP84))/10000,((((I84*AJ84*AH84)-(I84*V84*X84))*(AV84*AR84))+(I84*V84*X84))*AP84/10000)),"Error ▲")</f>
      </c>
      <c r="M84" t="s" s="311">
        <f>_xlfn.IFERROR(IF(F84="","",L84-AD84),"Error ▲")</f>
      </c>
      <c r="N84" s="414"/>
      <c r="O84" s="415"/>
      <c r="P84" s="315"/>
      <c r="Q84" s="380"/>
      <c r="R84" s="219"/>
      <c r="S84" s="381"/>
      <c r="T84" t="s" s="295">
        <f>IF(D84="","",K27)</f>
      </c>
      <c r="U84" t="s" s="285">
        <f>IF($D84="","",T27)</f>
      </c>
      <c r="V84" t="s" s="313">
        <f>IF($D84="","",V27)</f>
      </c>
      <c r="W84" t="s" s="285">
        <f>IF($D84="","",W27)</f>
      </c>
      <c r="X84" t="s" s="313">
        <f>IF($D84="","",X27)</f>
      </c>
      <c r="Y84" s="510"/>
      <c r="Z84" s="511"/>
      <c r="AA84" s="512"/>
      <c r="AB84" t="s" s="285">
        <f>IF($D84="","",AB27)</f>
      </c>
      <c r="AC84" t="s" s="313">
        <f>IF($D84="","",AD27)</f>
      </c>
      <c r="AD84" t="s" s="295">
        <f>IF(AC84="","",(T84*V84*X84)*AC84/10000)</f>
      </c>
      <c r="AE84" t="s" s="295">
        <f>IF(AD84="","",IF(AH84&lt;V84,"Not Acceptable","Acceptable"))</f>
      </c>
      <c r="AF84" t="s" s="295">
        <f>IF(D84="","",I84)</f>
      </c>
      <c r="AG84" t="s" s="285">
        <f>IF(D84="","",VLOOKUP(F84,'9. All Habitats + Multipliers'!$C$4:$K$102,5,FALSE))</f>
      </c>
      <c r="AH84" t="s" s="313">
        <f>IF(AG84="","",VLOOKUP(AG84,'11. Lists'!$B$47:$D$49,2,FALSE))</f>
      </c>
      <c r="AI84" t="s" s="285">
        <f>IF(D84="","",J84)</f>
      </c>
      <c r="AJ84" t="s" s="313">
        <f>IF(AI84="","",VLOOKUP(AI84,'11. Lists'!$F$47:$G$51,2,FALSE))</f>
      </c>
      <c r="AK84" s="510"/>
      <c r="AL84" s="511"/>
      <c r="AM84" s="512"/>
      <c r="AN84" t="s" s="285">
        <f>IF(H84="","",H84)</f>
      </c>
      <c r="AO84" t="s" s="291">
        <f>IF(AN84="","",VLOOKUP(AN84,'11. Lists'!$F$36:$H$38,2,FALSE))</f>
      </c>
      <c r="AP84" t="s" s="313">
        <f>IF(AN84="","",VLOOKUP(AN84,'11. Lists'!$F$36:$H$38,3,FALSE))</f>
      </c>
      <c r="AQ84" t="s" s="285">
        <f>IF(D84="","",IF(AX84="Distinctiveness","N/A",VLOOKUP(F84,'10. Condition and Temporal'!$B$6:$L$103,11,FALSE)))</f>
      </c>
      <c r="AR84" t="s" s="313">
        <f>IF(AQ84="","",IF(AQ84="N/A","1",VLOOKUP(AQ84,'11. Lists'!$I$47:$K$80,3,FALSE)))</f>
      </c>
      <c r="AS84" t="s" s="285">
        <f>IF(D84="","",IF(AX84="Condition","N/A",VLOOKUP(F84,'10. Condition and Temporal'!$B$6:$M$106,12,FALSE)))</f>
      </c>
      <c r="AT84" t="s" s="313">
        <f>IF(AS84="","",IF(AS84="N/A","1",VLOOKUP(AS84,'11. Lists'!$I$47:$K$80,3,FALSE)))</f>
      </c>
      <c r="AU84" t="s" s="285">
        <f>IF(D84="","",VLOOKUP(F84,'9. All Habitats + Multipliers'!$C$4:$K$102,8,FALSE))</f>
      </c>
      <c r="AV84" t="s" s="313">
        <f>IF(AU84="","",VLOOKUP(AU84,'11. Lists'!$J$35:$K$38,2,FALSE))</f>
      </c>
      <c r="AW84" t="s" s="295">
        <f>IF(D84="","",VLOOKUP(D84,'10. Condition and Temporal'!$B$6:$M$103,4,FALSE))</f>
      </c>
      <c r="AX84" t="s" s="295">
        <f>IF(F84="","",IF(D84=F84,"Condition","Distinctiveness"))</f>
      </c>
      <c r="AY84" t="s" s="522">
        <f>IF(COUNTIF(F84,"*grassland*"),"Grassland",IF(COUNTIF(F84,"*scree*"),"Sparsely vegetated land",C84))</f>
      </c>
      <c r="AZ84" s="472"/>
      <c r="BA84" s="401">
        <v>17</v>
      </c>
      <c r="BB84" t="s" s="291">
        <f>TRIM(MID(SUBSTITUTE($AW$68,$BA$64,REPT(" ",LEN($AW$68))),($BA84-1)*LEN($AW$68)+1,LEN($AW$68)))</f>
      </c>
      <c r="BC84" t="s" s="291">
        <f>TRIM(MID(SUBSTITUTE($AW$69,$BA$64,REPT(" ",LEN($AW$69))),($BA84-1)*LEN($AW$69)+1,LEN($AW$69)))</f>
      </c>
      <c r="BD84" t="s" s="291">
        <f>TRIM(MID(SUBSTITUTE($AW$70,$BA$64,REPT(" ",LEN($AW$70))),($BA84-1)*LEN($AW$70)+1,LEN($AW$70)))</f>
      </c>
      <c r="BE84" t="s" s="291">
        <f>TRIM(MID(SUBSTITUTE($AW$71,$BA$64,REPT(" ",LEN($AW$71))),($BA84-1)*LEN($AW$71)+1,LEN($AW$71)))</f>
      </c>
      <c r="BF84" t="s" s="291">
        <f>TRIM(MID(SUBSTITUTE($AW$72,$BA$64,REPT(" ",LEN($AW$72))),($BA84-1)*LEN($AW$72)+1,LEN($AW$72)))</f>
      </c>
      <c r="BG84" t="s" s="291">
        <f>TRIM(MID(SUBSTITUTE($AW$73,$BA$64,REPT(" ",LEN($AW$73))),($BA84-1)*LEN($AW$73)+1,LEN($AW$73)))</f>
      </c>
      <c r="BH84" t="s" s="291">
        <f>TRIM(MID(SUBSTITUTE($AW$74,$BA$64,REPT(" ",LEN($AW$74))),($BA84-1)*LEN($AW$74)+1,LEN($AW$74)))</f>
      </c>
      <c r="BI84" t="s" s="291">
        <f>TRIM(MID(SUBSTITUTE($AW$75,$BA$64,REPT(" ",LEN($AW$75))),($BA84-1)*LEN($AW$75)+1,LEN($AW$75)))</f>
      </c>
      <c r="BJ84" t="s" s="291">
        <f>TRIM(MID(SUBSTITUTE($AW$76,$BA$64,REPT(" ",LEN($AW$76))),($BA84-1)*LEN($AW$76)+1,LEN($AW$76)))</f>
      </c>
      <c r="BK84" t="s" s="291">
        <f>TRIM(MID(SUBSTITUTE($AW$77,$BA$64,REPT(" ",LEN($AW$77))),($BA84-1)*LEN($AW$77)+1,LEN($AW$77)))</f>
      </c>
      <c r="BL84" t="s" s="291">
        <f>TRIM(MID(SUBSTITUTE($AW$78,$BA$64,REPT(" ",LEN($AW$78))),($BA84-1)*LEN($AW$78)+1,LEN($AW$78)))</f>
      </c>
      <c r="BM84" t="s" s="291">
        <f>TRIM(MID(SUBSTITUTE($AW$79,$BA$64,REPT(" ",LEN($AW$79))),($BA84-1)*LEN($AW$79)+1,LEN($AW$79)))</f>
      </c>
      <c r="BN84" t="s" s="291">
        <f>TRIM(MID(SUBSTITUTE($AW$80,$BA$64,REPT(" ",LEN($AW$80))),($BA84-1)*LEN($AW$80)+1,LEN($AW$80)))</f>
      </c>
      <c r="BO84" t="s" s="291">
        <f>TRIM(MID(SUBSTITUTE($AW$81,$BA$64,REPT(" ",LEN($AW$81))),($BA84-1)*LEN($AW$81)+1,LEN($AW$81)))</f>
      </c>
      <c r="BP84" t="s" s="291">
        <f>TRIM(MID(SUBSTITUTE($AW$82,$BA$64,REPT(" ",LEN($AW$82))),($BA84-1)*LEN($AW$82)+1,LEN($AW$82)))</f>
      </c>
      <c r="BQ84" t="s" s="291">
        <f>TRIM(MID(SUBSTITUTE($AW$83,$BA$64,REPT(" ",LEN($AW$83))),($BA84-1)*LEN($AW$83)+1,LEN($AW$83)))</f>
      </c>
      <c r="BR84" t="s" s="291">
        <f>TRIM(MID(SUBSTITUTE($AW$84,$BA$64,REPT(" ",LEN($AW$84))),($BA84-1)*LEN($AW$84)+1,LEN($AW$84)))</f>
      </c>
      <c r="BS84" t="s" s="291">
        <f>TRIM(MID(SUBSTITUTE($AW$85,$BA$64,REPT(" ",LEN($AW$85))),($BA84-1)*LEN($AW$85)+1,LEN($AW$85)))</f>
      </c>
      <c r="BT84" t="s" s="291">
        <f>TRIM(MID(SUBSTITUTE($AW$86,$BA$64,REPT(" ",LEN($AW$86))),($BA84-1)*LEN($AW$86)+1,LEN($AW$86)))</f>
      </c>
      <c r="BU84" t="s" s="313">
        <f>TRIM(MID(SUBSTITUTE($AW$87,$BA$64,REPT(" ",LEN($AW$87))),($BA84-1)*LEN($AW$87)+1,LEN($AW$87)))</f>
      </c>
      <c r="BV84" t="s" s="285">
        <f>IF(BX84=0,"",CONCATENATE(BW84,"68:",BW84,BX84+67))</f>
      </c>
      <c r="BW84" t="s" s="291">
        <v>240</v>
      </c>
      <c r="BX84" s="518">
        <f>BR66</f>
        <v>0</v>
      </c>
      <c r="BY84" s="459"/>
      <c r="BZ84" s="161"/>
      <c r="CA84" s="161"/>
      <c r="CB84" s="161"/>
      <c r="CC84" s="161"/>
      <c r="CD84" s="161"/>
      <c r="CE84" s="161"/>
      <c r="CF84" s="161"/>
      <c r="CG84" s="161"/>
      <c r="CH84" s="161"/>
      <c r="CI84" s="161"/>
      <c r="CJ84" s="161"/>
      <c r="CK84" s="161"/>
      <c r="CL84" s="161"/>
      <c r="CM84" s="161"/>
      <c r="CN84" s="161"/>
      <c r="CO84" s="161"/>
      <c r="CP84" s="161"/>
      <c r="CQ84" s="161"/>
      <c r="CR84" s="161"/>
      <c r="CS84" s="161"/>
      <c r="CT84" s="161"/>
      <c r="CU84" s="161"/>
      <c r="CV84" s="161"/>
      <c r="CW84" s="161"/>
      <c r="CX84" s="161"/>
      <c r="CY84" s="161"/>
      <c r="CZ84" s="161"/>
      <c r="DA84" s="161"/>
      <c r="DB84" s="161"/>
      <c r="DC84" s="161"/>
      <c r="DD84" s="161"/>
      <c r="DE84" s="161"/>
      <c r="DF84" s="161"/>
      <c r="DG84" s="161"/>
      <c r="DH84" s="161"/>
      <c r="DI84" s="161"/>
      <c r="DJ84" s="161"/>
      <c r="DK84" s="161"/>
      <c r="DL84" s="161"/>
      <c r="DM84" s="161"/>
      <c r="DN84" s="161"/>
      <c r="DO84" s="161"/>
      <c r="DP84" s="161"/>
      <c r="DQ84" s="161"/>
      <c r="DR84" s="161"/>
      <c r="DS84" s="161"/>
      <c r="DT84" s="161"/>
      <c r="DU84" s="161"/>
      <c r="DV84" s="161"/>
      <c r="DW84" s="161"/>
      <c r="DX84" s="161"/>
    </row>
    <row r="85" ht="15.6" customHeight="1">
      <c r="A85" s="242"/>
      <c r="B85" s="296">
        <v>18</v>
      </c>
      <c r="C85" t="s" s="519">
        <f>IF(D85="","",C28)</f>
      </c>
      <c r="D85" t="s" s="520">
        <f>IF(OR(K28=0,K28=""),"",D28)</f>
      </c>
      <c r="E85" t="s" s="521">
        <f>IF(AX85="","",AX85)</f>
      </c>
      <c r="F85" s="314"/>
      <c r="G85" s="315"/>
      <c r="H85" s="501"/>
      <c r="I85" t="s" s="502">
        <f>IF(OR(K28="",K28=0),"",K28)</f>
      </c>
      <c r="J85" t="s" s="503">
        <f>_xlfn.IFERROR(IF(F85="","",VLOOKUP(F85,'10. Condition and Temporal'!$B$6:$F$103,5,FALSE)),"Error ▲")</f>
      </c>
      <c r="K85" s="504"/>
      <c r="L85" t="s" s="418">
        <f>_xlfn.IFERROR(IF(D85="","",IF(AX85="Distinctiveness",(((((I85*AH85*AJ85)-(I85*V85*X85))*(AV85*AT85))+(I85*V85*X85))*(AP85))/10000,((((I85*AJ85*AH85)-(I85*V85*X85))*(AV85*AR85))+(I85*V85*X85))*AP85/10000)),"Error ▲")</f>
      </c>
      <c r="M85" t="s" s="311">
        <f>_xlfn.IFERROR(IF(F85="","",L85-AD85),"Error ▲")</f>
      </c>
      <c r="N85" s="414"/>
      <c r="O85" s="415"/>
      <c r="P85" s="315"/>
      <c r="Q85" s="380"/>
      <c r="R85" s="219"/>
      <c r="S85" s="381"/>
      <c r="T85" t="s" s="295">
        <f>IF(D85="","",K28)</f>
      </c>
      <c r="U85" t="s" s="285">
        <f>IF($D85="","",T28)</f>
      </c>
      <c r="V85" t="s" s="313">
        <f>IF($D85="","",V28)</f>
      </c>
      <c r="W85" t="s" s="285">
        <f>IF($D85="","",W28)</f>
      </c>
      <c r="X85" t="s" s="313">
        <f>IF($D85="","",X28)</f>
      </c>
      <c r="Y85" s="510"/>
      <c r="Z85" s="511"/>
      <c r="AA85" s="512"/>
      <c r="AB85" t="s" s="285">
        <f>IF($D85="","",AB28)</f>
      </c>
      <c r="AC85" t="s" s="313">
        <f>IF($D85="","",AD28)</f>
      </c>
      <c r="AD85" t="s" s="295">
        <f>IF(AC85="","",(T85*V85*X85)*AC85/10000)</f>
      </c>
      <c r="AE85" t="s" s="295">
        <f>IF(AD85="","",IF(AH85&lt;V85,"Not Acceptable","Acceptable"))</f>
      </c>
      <c r="AF85" t="s" s="295">
        <f>IF(D85="","",I85)</f>
      </c>
      <c r="AG85" t="s" s="285">
        <f>IF(D85="","",VLOOKUP(F85,'9. All Habitats + Multipliers'!$C$4:$K$102,5,FALSE))</f>
      </c>
      <c r="AH85" t="s" s="313">
        <f>IF(AG85="","",VLOOKUP(AG85,'11. Lists'!$B$47:$D$49,2,FALSE))</f>
      </c>
      <c r="AI85" t="s" s="285">
        <f>IF(D85="","",J85)</f>
      </c>
      <c r="AJ85" t="s" s="313">
        <f>IF(AI85="","",VLOOKUP(AI85,'11. Lists'!$F$47:$G$51,2,FALSE))</f>
      </c>
      <c r="AK85" s="510"/>
      <c r="AL85" s="511"/>
      <c r="AM85" s="512"/>
      <c r="AN85" t="s" s="285">
        <f>IF(H85="","",H85)</f>
      </c>
      <c r="AO85" t="s" s="291">
        <f>IF(AN85="","",VLOOKUP(AN85,'11. Lists'!$F$36:$H$38,2,FALSE))</f>
      </c>
      <c r="AP85" t="s" s="313">
        <f>IF(AN85="","",VLOOKUP(AN85,'11. Lists'!$F$36:$H$38,3,FALSE))</f>
      </c>
      <c r="AQ85" t="s" s="285">
        <f>IF(D85="","",IF(AX85="Distinctiveness","N/A",VLOOKUP(F85,'10. Condition and Temporal'!$B$6:$L$103,11,FALSE)))</f>
      </c>
      <c r="AR85" t="s" s="313">
        <f>IF(AQ85="","",IF(AQ85="N/A","1",VLOOKUP(AQ85,'11. Lists'!$I$47:$K$80,3,FALSE)))</f>
      </c>
      <c r="AS85" t="s" s="285">
        <f>IF(D85="","",IF(AX85="Condition","N/A",VLOOKUP(F85,'10. Condition and Temporal'!$B$6:$M$106,12,FALSE)))</f>
      </c>
      <c r="AT85" t="s" s="313">
        <f>IF(AS85="","",IF(AS85="N/A","1",VLOOKUP(AS85,'11. Lists'!$I$47:$K$80,3,FALSE)))</f>
      </c>
      <c r="AU85" t="s" s="285">
        <f>IF(D85="","",VLOOKUP(F85,'9. All Habitats + Multipliers'!$C$4:$K$102,8,FALSE))</f>
      </c>
      <c r="AV85" t="s" s="313">
        <f>IF(AU85="","",VLOOKUP(AU85,'11. Lists'!$J$35:$K$38,2,FALSE))</f>
      </c>
      <c r="AW85" t="s" s="295">
        <f>IF(D85="","",VLOOKUP(D85,'10. Condition and Temporal'!$B$6:$M$103,4,FALSE))</f>
      </c>
      <c r="AX85" t="s" s="295">
        <f>IF(F85="","",IF(D85=F85,"Condition","Distinctiveness"))</f>
      </c>
      <c r="AY85" t="s" s="522">
        <f>IF(COUNTIF(F85,"*grassland*"),"Grassland",IF(COUNTIF(F85,"*scree*"),"Sparsely vegetated land",C85))</f>
      </c>
      <c r="AZ85" s="472"/>
      <c r="BA85" s="401">
        <v>18</v>
      </c>
      <c r="BB85" t="s" s="291">
        <f>TRIM(MID(SUBSTITUTE($AW$68,$BA$64,REPT(" ",LEN($AW$68))),($BA85-1)*LEN($AW$68)+1,LEN($AW$68)))</f>
      </c>
      <c r="BC85" t="s" s="291">
        <f>TRIM(MID(SUBSTITUTE($AW$69,$BA$64,REPT(" ",LEN($AW$69))),($BA85-1)*LEN($AW$69)+1,LEN($AW$69)))</f>
      </c>
      <c r="BD85" t="s" s="291">
        <f>TRIM(MID(SUBSTITUTE($AW$70,$BA$64,REPT(" ",LEN($AW$70))),($BA85-1)*LEN($AW$70)+1,LEN($AW$70)))</f>
      </c>
      <c r="BE85" t="s" s="291">
        <f>TRIM(MID(SUBSTITUTE($AW$71,$BA$64,REPT(" ",LEN($AW$71))),($BA85-1)*LEN($AW$71)+1,LEN($AW$71)))</f>
      </c>
      <c r="BF85" t="s" s="291">
        <f>TRIM(MID(SUBSTITUTE($AW$72,$BA$64,REPT(" ",LEN($AW$72))),($BA85-1)*LEN($AW$72)+1,LEN($AW$72)))</f>
      </c>
      <c r="BG85" t="s" s="291">
        <f>TRIM(MID(SUBSTITUTE($AW$73,$BA$64,REPT(" ",LEN($AW$73))),($BA85-1)*LEN($AW$73)+1,LEN($AW$73)))</f>
      </c>
      <c r="BH85" t="s" s="291">
        <f>TRIM(MID(SUBSTITUTE($AW$74,$BA$64,REPT(" ",LEN($AW$74))),($BA85-1)*LEN($AW$74)+1,LEN($AW$74)))</f>
      </c>
      <c r="BI85" t="s" s="291">
        <f>TRIM(MID(SUBSTITUTE($AW$75,$BA$64,REPT(" ",LEN($AW$75))),($BA85-1)*LEN($AW$75)+1,LEN($AW$75)))</f>
      </c>
      <c r="BJ85" t="s" s="291">
        <f>TRIM(MID(SUBSTITUTE($AW$76,$BA$64,REPT(" ",LEN($AW$76))),($BA85-1)*LEN($AW$76)+1,LEN($AW$76)))</f>
      </c>
      <c r="BK85" t="s" s="291">
        <f>TRIM(MID(SUBSTITUTE($AW$77,$BA$64,REPT(" ",LEN($AW$77))),($BA85-1)*LEN($AW$77)+1,LEN($AW$77)))</f>
      </c>
      <c r="BL85" t="s" s="291">
        <f>TRIM(MID(SUBSTITUTE($AW$78,$BA$64,REPT(" ",LEN($AW$78))),($BA85-1)*LEN($AW$78)+1,LEN($AW$78)))</f>
      </c>
      <c r="BM85" t="s" s="291">
        <f>TRIM(MID(SUBSTITUTE($AW$79,$BA$64,REPT(" ",LEN($AW$79))),($BA85-1)*LEN($AW$79)+1,LEN($AW$79)))</f>
      </c>
      <c r="BN85" t="s" s="291">
        <f>TRIM(MID(SUBSTITUTE($AW$80,$BA$64,REPT(" ",LEN($AW$80))),($BA85-1)*LEN($AW$80)+1,LEN($AW$80)))</f>
      </c>
      <c r="BO85" t="s" s="291">
        <f>TRIM(MID(SUBSTITUTE($AW$81,$BA$64,REPT(" ",LEN($AW$81))),($BA85-1)*LEN($AW$81)+1,LEN($AW$81)))</f>
      </c>
      <c r="BP85" t="s" s="291">
        <f>TRIM(MID(SUBSTITUTE($AW$82,$BA$64,REPT(" ",LEN($AW$82))),($BA85-1)*LEN($AW$82)+1,LEN($AW$82)))</f>
      </c>
      <c r="BQ85" t="s" s="291">
        <f>TRIM(MID(SUBSTITUTE($AW$83,$BA$64,REPT(" ",LEN($AW$83))),($BA85-1)*LEN($AW$83)+1,LEN($AW$83)))</f>
      </c>
      <c r="BR85" t="s" s="291">
        <f>TRIM(MID(SUBSTITUTE($AW$84,$BA$64,REPT(" ",LEN($AW$84))),($BA85-1)*LEN($AW$84)+1,LEN($AW$84)))</f>
      </c>
      <c r="BS85" t="s" s="291">
        <f>TRIM(MID(SUBSTITUTE($AW$85,$BA$64,REPT(" ",LEN($AW$85))),($BA85-1)*LEN($AW$85)+1,LEN($AW$85)))</f>
      </c>
      <c r="BT85" t="s" s="291">
        <f>TRIM(MID(SUBSTITUTE($AW$86,$BA$64,REPT(" ",LEN($AW$86))),($BA85-1)*LEN($AW$86)+1,LEN($AW$86)))</f>
      </c>
      <c r="BU85" t="s" s="313">
        <f>TRIM(MID(SUBSTITUTE($AW$87,$BA$64,REPT(" ",LEN($AW$87))),($BA85-1)*LEN($AW$87)+1,LEN($AW$87)))</f>
      </c>
      <c r="BV85" t="s" s="285">
        <f>IF(BX85=0,"",CONCATENATE(BW85,"68:",BW85,BX85+67))</f>
      </c>
      <c r="BW85" t="s" s="291">
        <v>241</v>
      </c>
      <c r="BX85" s="518">
        <f>BS66</f>
        <v>0</v>
      </c>
      <c r="BY85" s="459"/>
      <c r="BZ85" s="161"/>
      <c r="CA85" s="161"/>
      <c r="CB85" s="161"/>
      <c r="CC85" s="161"/>
      <c r="CD85" s="161"/>
      <c r="CE85" s="161"/>
      <c r="CF85" s="161"/>
      <c r="CG85" s="161"/>
      <c r="CH85" s="161"/>
      <c r="CI85" s="161"/>
      <c r="CJ85" s="161"/>
      <c r="CK85" s="161"/>
      <c r="CL85" s="161"/>
      <c r="CM85" s="161"/>
      <c r="CN85" s="161"/>
      <c r="CO85" s="161"/>
      <c r="CP85" s="161"/>
      <c r="CQ85" s="161"/>
      <c r="CR85" s="161"/>
      <c r="CS85" s="161"/>
      <c r="CT85" s="161"/>
      <c r="CU85" s="161"/>
      <c r="CV85" s="161"/>
      <c r="CW85" s="161"/>
      <c r="CX85" s="161"/>
      <c r="CY85" s="161"/>
      <c r="CZ85" s="161"/>
      <c r="DA85" s="161"/>
      <c r="DB85" s="161"/>
      <c r="DC85" s="161"/>
      <c r="DD85" s="161"/>
      <c r="DE85" s="161"/>
      <c r="DF85" s="161"/>
      <c r="DG85" s="161"/>
      <c r="DH85" s="161"/>
      <c r="DI85" s="161"/>
      <c r="DJ85" s="161"/>
      <c r="DK85" s="161"/>
      <c r="DL85" s="161"/>
      <c r="DM85" s="161"/>
      <c r="DN85" s="161"/>
      <c r="DO85" s="161"/>
      <c r="DP85" s="161"/>
      <c r="DQ85" s="161"/>
      <c r="DR85" s="161"/>
      <c r="DS85" s="161"/>
      <c r="DT85" s="161"/>
      <c r="DU85" s="161"/>
      <c r="DV85" s="161"/>
      <c r="DW85" s="161"/>
      <c r="DX85" s="161"/>
    </row>
    <row r="86" ht="15.6" customHeight="1">
      <c r="A86" s="242"/>
      <c r="B86" s="296">
        <v>19</v>
      </c>
      <c r="C86" t="s" s="519">
        <f>IF(D86="","",C29)</f>
      </c>
      <c r="D86" t="s" s="520">
        <f>IF(OR(K29=0,K29=""),"",D29)</f>
      </c>
      <c r="E86" t="s" s="521">
        <f>IF(AX86="","",AX86)</f>
      </c>
      <c r="F86" s="314"/>
      <c r="G86" s="315"/>
      <c r="H86" s="501"/>
      <c r="I86" t="s" s="502">
        <f>IF(OR(K29="",K29=0),"",K29)</f>
      </c>
      <c r="J86" t="s" s="503">
        <f>_xlfn.IFERROR(IF(F86="","",VLOOKUP(F86,'10. Condition and Temporal'!$B$6:$F$103,5,FALSE)),"Error ▲")</f>
      </c>
      <c r="K86" s="504"/>
      <c r="L86" t="s" s="418">
        <f>_xlfn.IFERROR(IF(D86="","",IF(AX86="Distinctiveness",(((((I86*AH86*AJ86)-(I86*V86*X86))*(AV86*AT86))+(I86*V86*X86))*(AP86))/10000,((((I86*AJ86*AH86)-(I86*V86*X86))*(AV86*AR86))+(I86*V86*X86))*AP86/10000)),"Error ▲")</f>
      </c>
      <c r="M86" t="s" s="311">
        <f>_xlfn.IFERROR(IF(F86="","",L86-AD86),"Error ▲")</f>
      </c>
      <c r="N86" s="414"/>
      <c r="O86" s="415"/>
      <c r="P86" s="315"/>
      <c r="Q86" s="380"/>
      <c r="R86" s="219"/>
      <c r="S86" s="381"/>
      <c r="T86" t="s" s="295">
        <f>IF(D86="","",K29)</f>
      </c>
      <c r="U86" t="s" s="285">
        <f>IF($D86="","",T29)</f>
      </c>
      <c r="V86" t="s" s="313">
        <f>IF($D86="","",V29)</f>
      </c>
      <c r="W86" t="s" s="285">
        <f>IF($D86="","",W29)</f>
      </c>
      <c r="X86" t="s" s="313">
        <f>IF($D86="","",X29)</f>
      </c>
      <c r="Y86" s="510"/>
      <c r="Z86" s="511"/>
      <c r="AA86" s="512"/>
      <c r="AB86" t="s" s="285">
        <f>IF($D86="","",AB29)</f>
      </c>
      <c r="AC86" t="s" s="313">
        <f>IF($D86="","",AD29)</f>
      </c>
      <c r="AD86" t="s" s="295">
        <f>IF(AC86="","",(T86*V86*X86)*AC86/10000)</f>
      </c>
      <c r="AE86" t="s" s="295">
        <f>IF(AD86="","",IF(AH86&lt;V86,"Not Acceptable","Acceptable"))</f>
      </c>
      <c r="AF86" t="s" s="295">
        <f>IF(D86="","",I86)</f>
      </c>
      <c r="AG86" t="s" s="285">
        <f>IF(D86="","",VLOOKUP(F86,'9. All Habitats + Multipliers'!$C$4:$K$102,5,FALSE))</f>
      </c>
      <c r="AH86" t="s" s="313">
        <f>IF(AG86="","",VLOOKUP(AG86,'11. Lists'!$B$47:$D$49,2,FALSE))</f>
      </c>
      <c r="AI86" t="s" s="285">
        <f>IF(D86="","",J86)</f>
      </c>
      <c r="AJ86" t="s" s="313">
        <f>IF(AI86="","",VLOOKUP(AI86,'11. Lists'!$F$47:$G$51,2,FALSE))</f>
      </c>
      <c r="AK86" s="510"/>
      <c r="AL86" s="511"/>
      <c r="AM86" s="512"/>
      <c r="AN86" t="s" s="285">
        <f>IF(H86="","",H86)</f>
      </c>
      <c r="AO86" t="s" s="291">
        <f>IF(AN86="","",VLOOKUP(AN86,'11. Lists'!$F$36:$H$38,2,FALSE))</f>
      </c>
      <c r="AP86" t="s" s="313">
        <f>IF(AN86="","",VLOOKUP(AN86,'11. Lists'!$F$36:$H$38,3,FALSE))</f>
      </c>
      <c r="AQ86" t="s" s="285">
        <f>IF(D86="","",IF(AX86="Distinctiveness","N/A",VLOOKUP(F86,'10. Condition and Temporal'!$B$6:$L$103,11,FALSE)))</f>
      </c>
      <c r="AR86" t="s" s="313">
        <f>IF(AQ86="","",IF(AQ86="N/A","1",VLOOKUP(AQ86,'11. Lists'!$I$47:$K$80,3,FALSE)))</f>
      </c>
      <c r="AS86" t="s" s="285">
        <f>IF(D86="","",IF(AX86="Condition","N/A",VLOOKUP(F86,'10. Condition and Temporal'!$B$6:$M$106,12,FALSE)))</f>
      </c>
      <c r="AT86" t="s" s="313">
        <f>IF(AS86="","",IF(AS86="N/A","1",VLOOKUP(AS86,'11. Lists'!$I$47:$K$80,3,FALSE)))</f>
      </c>
      <c r="AU86" t="s" s="285">
        <f>IF(D86="","",VLOOKUP(F86,'9. All Habitats + Multipliers'!$C$4:$K$102,8,FALSE))</f>
      </c>
      <c r="AV86" t="s" s="313">
        <f>IF(AU86="","",VLOOKUP(AU86,'11. Lists'!$J$35:$K$38,2,FALSE))</f>
      </c>
      <c r="AW86" t="s" s="295">
        <f>IF(D86="","",VLOOKUP(D86,'10. Condition and Temporal'!$B$6:$M$103,4,FALSE))</f>
      </c>
      <c r="AX86" t="s" s="295">
        <f>IF(F86="","",IF(D86=F86,"Condition","Distinctiveness"))</f>
      </c>
      <c r="AY86" t="s" s="522">
        <f>IF(COUNTIF(F86,"*grassland*"),"Grassland",IF(COUNTIF(F86,"*scree*"),"Sparsely vegetated land",C86))</f>
      </c>
      <c r="AZ86" s="472"/>
      <c r="BA86" s="401">
        <v>19</v>
      </c>
      <c r="BB86" t="s" s="291">
        <f>TRIM(MID(SUBSTITUTE($AW$68,$BA$64,REPT(" ",LEN($AW$68))),($BA86-1)*LEN($AW$68)+1,LEN($AW$68)))</f>
      </c>
      <c r="BC86" t="s" s="291">
        <f>TRIM(MID(SUBSTITUTE($AW$69,$BA$64,REPT(" ",LEN($AW$69))),($BA86-1)*LEN($AW$69)+1,LEN($AW$69)))</f>
      </c>
      <c r="BD86" t="s" s="291">
        <f>TRIM(MID(SUBSTITUTE($AW$70,$BA$64,REPT(" ",LEN($AW$70))),($BA86-1)*LEN($AW$70)+1,LEN($AW$70)))</f>
      </c>
      <c r="BE86" t="s" s="291">
        <f>TRIM(MID(SUBSTITUTE($AW$71,$BA$64,REPT(" ",LEN($AW$71))),($BA86-1)*LEN($AW$71)+1,LEN($AW$71)))</f>
      </c>
      <c r="BF86" t="s" s="291">
        <f>TRIM(MID(SUBSTITUTE($AW$72,$BA$64,REPT(" ",LEN($AW$72))),($BA86-1)*LEN($AW$72)+1,LEN($AW$72)))</f>
      </c>
      <c r="BG86" t="s" s="291">
        <f>TRIM(MID(SUBSTITUTE($AW$73,$BA$64,REPT(" ",LEN($AW$73))),($BA86-1)*LEN($AW$73)+1,LEN($AW$73)))</f>
      </c>
      <c r="BH86" t="s" s="291">
        <f>TRIM(MID(SUBSTITUTE($AW$74,$BA$64,REPT(" ",LEN($AW$74))),($BA86-1)*LEN($AW$74)+1,LEN($AW$74)))</f>
      </c>
      <c r="BI86" t="s" s="291">
        <f>TRIM(MID(SUBSTITUTE($AW$75,$BA$64,REPT(" ",LEN($AW$75))),($BA86-1)*LEN($AW$75)+1,LEN($AW$75)))</f>
      </c>
      <c r="BJ86" t="s" s="291">
        <f>TRIM(MID(SUBSTITUTE($AW$76,$BA$64,REPT(" ",LEN($AW$76))),($BA86-1)*LEN($AW$76)+1,LEN($AW$76)))</f>
      </c>
      <c r="BK86" t="s" s="291">
        <f>TRIM(MID(SUBSTITUTE($AW$77,$BA$64,REPT(" ",LEN($AW$77))),($BA86-1)*LEN($AW$77)+1,LEN($AW$77)))</f>
      </c>
      <c r="BL86" t="s" s="291">
        <f>TRIM(MID(SUBSTITUTE($AW$78,$BA$64,REPT(" ",LEN($AW$78))),($BA86-1)*LEN($AW$78)+1,LEN($AW$78)))</f>
      </c>
      <c r="BM86" t="s" s="291">
        <f>TRIM(MID(SUBSTITUTE($AW$79,$BA$64,REPT(" ",LEN($AW$79))),($BA86-1)*LEN($AW$79)+1,LEN($AW$79)))</f>
      </c>
      <c r="BN86" t="s" s="291">
        <f>TRIM(MID(SUBSTITUTE($AW$80,$BA$64,REPT(" ",LEN($AW$80))),($BA86-1)*LEN($AW$80)+1,LEN($AW$80)))</f>
      </c>
      <c r="BO86" t="s" s="291">
        <f>TRIM(MID(SUBSTITUTE($AW$81,$BA$64,REPT(" ",LEN($AW$81))),($BA86-1)*LEN($AW$81)+1,LEN($AW$81)))</f>
      </c>
      <c r="BP86" t="s" s="291">
        <f>TRIM(MID(SUBSTITUTE($AW$82,$BA$64,REPT(" ",LEN($AW$82))),($BA86-1)*LEN($AW$82)+1,LEN($AW$82)))</f>
      </c>
      <c r="BQ86" t="s" s="291">
        <f>TRIM(MID(SUBSTITUTE($AW$83,$BA$64,REPT(" ",LEN($AW$83))),($BA86-1)*LEN($AW$83)+1,LEN($AW$83)))</f>
      </c>
      <c r="BR86" t="s" s="291">
        <f>TRIM(MID(SUBSTITUTE($AW$84,$BA$64,REPT(" ",LEN($AW$84))),($BA86-1)*LEN($AW$84)+1,LEN($AW$84)))</f>
      </c>
      <c r="BS86" t="s" s="291">
        <f>TRIM(MID(SUBSTITUTE($AW$85,$BA$64,REPT(" ",LEN($AW$85))),($BA86-1)*LEN($AW$85)+1,LEN($AW$85)))</f>
      </c>
      <c r="BT86" t="s" s="291">
        <f>TRIM(MID(SUBSTITUTE($AW$86,$BA$64,REPT(" ",LEN($AW$86))),($BA86-1)*LEN($AW$86)+1,LEN($AW$86)))</f>
      </c>
      <c r="BU86" t="s" s="313">
        <f>TRIM(MID(SUBSTITUTE($AW$87,$BA$64,REPT(" ",LEN($AW$87))),($BA86-1)*LEN($AW$87)+1,LEN($AW$87)))</f>
      </c>
      <c r="BV86" t="s" s="285">
        <f>IF(BX86=0,"",CONCATENATE(BW86,"68:",BW86,BX86+67))</f>
      </c>
      <c r="BW86" t="s" s="291">
        <v>242</v>
      </c>
      <c r="BX86" s="518">
        <f>BT66</f>
        <v>0</v>
      </c>
      <c r="BY86" s="459"/>
      <c r="BZ86" s="161"/>
      <c r="CA86" s="161"/>
      <c r="CB86" s="161"/>
      <c r="CC86" s="161"/>
      <c r="CD86" s="161"/>
      <c r="CE86" s="161"/>
      <c r="CF86" s="161"/>
      <c r="CG86" s="161"/>
      <c r="CH86" s="161"/>
      <c r="CI86" s="161"/>
      <c r="CJ86" s="161"/>
      <c r="CK86" s="161"/>
      <c r="CL86" s="161"/>
      <c r="CM86" s="161"/>
      <c r="CN86" s="161"/>
      <c r="CO86" s="161"/>
      <c r="CP86" s="161"/>
      <c r="CQ86" s="161"/>
      <c r="CR86" s="161"/>
      <c r="CS86" s="161"/>
      <c r="CT86" s="161"/>
      <c r="CU86" s="161"/>
      <c r="CV86" s="161"/>
      <c r="CW86" s="161"/>
      <c r="CX86" s="161"/>
      <c r="CY86" s="161"/>
      <c r="CZ86" s="161"/>
      <c r="DA86" s="161"/>
      <c r="DB86" s="161"/>
      <c r="DC86" s="161"/>
      <c r="DD86" s="161"/>
      <c r="DE86" s="161"/>
      <c r="DF86" s="161"/>
      <c r="DG86" s="161"/>
      <c r="DH86" s="161"/>
      <c r="DI86" s="161"/>
      <c r="DJ86" s="161"/>
      <c r="DK86" s="161"/>
      <c r="DL86" s="161"/>
      <c r="DM86" s="161"/>
      <c r="DN86" s="161"/>
      <c r="DO86" s="161"/>
      <c r="DP86" s="161"/>
      <c r="DQ86" s="161"/>
      <c r="DR86" s="161"/>
      <c r="DS86" s="161"/>
      <c r="DT86" s="161"/>
      <c r="DU86" s="161"/>
      <c r="DV86" s="161"/>
      <c r="DW86" s="161"/>
      <c r="DX86" s="161"/>
    </row>
    <row r="87" ht="15.95" customHeight="1">
      <c r="A87" s="242"/>
      <c r="B87" s="419">
        <v>20</v>
      </c>
      <c r="C87" t="s" s="523">
        <f>IF(D87="","",C30)</f>
      </c>
      <c r="D87" t="s" s="524">
        <f>IF(OR(K30=0,K30=""),"",D30)</f>
      </c>
      <c r="E87" t="s" s="525">
        <f>IF(AX87="","",AX87)</f>
      </c>
      <c r="F87" s="526"/>
      <c r="G87" s="338"/>
      <c r="H87" s="527"/>
      <c r="I87" t="s" s="528">
        <f>IF(OR(K30="",K30=0),"",K30)</f>
      </c>
      <c r="J87" t="s" s="529">
        <f>_xlfn.IFERROR(IF(F87="","",VLOOKUP(F87,'10. Condition and Temporal'!$B$6:$F$103,5,FALSE)),"Error ▲")</f>
      </c>
      <c r="K87" s="530"/>
      <c r="L87" t="s" s="427">
        <f>_xlfn.IFERROR(IF(D87="","",IF(AX87="Distinctiveness",(((((I87*AH87*AJ87)-(I87*V87*X87))*(AV87*AT87))+(I87*V87*X87))*(AP87))/10000,((((I87*AJ87*AH87)-(I87*V87*X87))*(AV87*AR87))+(I87*V87*X87))*AP87/10000)),"Error ▲")</f>
      </c>
      <c r="M87" t="s" s="323">
        <f>_xlfn.IFERROR(IF(F87="","",L87-AD87),"Error ▲")</f>
      </c>
      <c r="N87" s="429"/>
      <c r="O87" s="337"/>
      <c r="P87" s="338"/>
      <c r="Q87" s="380"/>
      <c r="R87" s="219"/>
      <c r="S87" s="381"/>
      <c r="T87" t="s" s="346">
        <f>IF(D87="","",K30)</f>
      </c>
      <c r="U87" t="s" s="339">
        <f>IF($D87="","",T30)</f>
      </c>
      <c r="V87" t="s" s="531">
        <f>IF($D87="","",V30)</f>
      </c>
      <c r="W87" t="s" s="339">
        <f>IF($D87="","",W30)</f>
      </c>
      <c r="X87" t="s" s="531">
        <f>IF($D87="","",X30)</f>
      </c>
      <c r="Y87" s="532"/>
      <c r="Z87" s="533"/>
      <c r="AA87" s="534"/>
      <c r="AB87" t="s" s="339">
        <f>IF($D87="","",AB30)</f>
      </c>
      <c r="AC87" t="s" s="531">
        <f>IF($D87="","",AD30)</f>
      </c>
      <c r="AD87" t="s" s="346">
        <f>IF(AC87="","",(T87*V87*X87)*AC87/10000)</f>
      </c>
      <c r="AE87" t="s" s="346">
        <f>IF(AD87="","",IF(AH87&lt;V87,"Not Acceptable","Acceptable"))</f>
      </c>
      <c r="AF87" t="s" s="346">
        <f>IF(D87="","",I87)</f>
      </c>
      <c r="AG87" t="s" s="339">
        <f>IF(D87="","",VLOOKUP(F87,'9. All Habitats + Multipliers'!$C$4:$K$102,5,FALSE))</f>
      </c>
      <c r="AH87" t="s" s="531">
        <f>IF(AG87="","",VLOOKUP(AG87,'11. Lists'!$B$47:$D$49,2,FALSE))</f>
      </c>
      <c r="AI87" t="s" s="339">
        <f>IF(D87="","",J87)</f>
      </c>
      <c r="AJ87" t="s" s="531">
        <f>IF(AI87="","",VLOOKUP(AI87,'11. Lists'!$F$47:$G$51,2,FALSE))</f>
      </c>
      <c r="AK87" s="510"/>
      <c r="AL87" s="511"/>
      <c r="AM87" s="512"/>
      <c r="AN87" t="s" s="339">
        <f>IF(H87="","",H87)</f>
      </c>
      <c r="AO87" t="s" s="342">
        <f>IF(AN87="","",VLOOKUP(AN87,'11. Lists'!$F$36:$H$38,2,FALSE))</f>
      </c>
      <c r="AP87" t="s" s="531">
        <f>IF(AN87="","",VLOOKUP(AN87,'11. Lists'!$F$36:$H$38,3,FALSE))</f>
      </c>
      <c r="AQ87" t="s" s="339">
        <f>IF(D87="","",IF(AX87="Distinctiveness","N/A",VLOOKUP(F87,'10. Condition and Temporal'!$B$6:$L$103,11,FALSE)))</f>
      </c>
      <c r="AR87" t="s" s="531">
        <f>IF(AQ87="","",IF(AQ87="N/A","1",VLOOKUP(AQ87,'11. Lists'!$I$47:$K$80,3,FALSE)))</f>
      </c>
      <c r="AS87" t="s" s="339">
        <f>IF(D87="","",IF(AX87="Condition","N/A",VLOOKUP(F87,'10. Condition and Temporal'!$B$6:$M$106,12,FALSE)))</f>
      </c>
      <c r="AT87" t="s" s="531">
        <f>IF(AS87="","",IF(AS87="N/A","1",VLOOKUP(AS87,'11. Lists'!$I$47:$K$80,3,FALSE)))</f>
      </c>
      <c r="AU87" t="s" s="339">
        <f>IF(D87="","",VLOOKUP(F87,'9. All Habitats + Multipliers'!$C$4:$K$102,8,FALSE))</f>
      </c>
      <c r="AV87" t="s" s="531">
        <f>IF(AU87="","",VLOOKUP(AU87,'11. Lists'!$J$35:$K$38,2,FALSE))</f>
      </c>
      <c r="AW87" t="s" s="346">
        <f>IF(D87="","",VLOOKUP(D87,'10. Condition and Temporal'!$B$6:$M$103,4,FALSE))</f>
      </c>
      <c r="AX87" t="s" s="346">
        <f>IF(F87="","",IF(D87=F87,"Condition","Distinctiveness"))</f>
      </c>
      <c r="AY87" t="s" s="535">
        <f>IF(COUNTIF(F87,"*grassland*"),"Grassland",IF(COUNTIF(F87,"*scree*"),"Sparsely vegetated land",C87))</f>
      </c>
      <c r="AZ87" s="472"/>
      <c r="BA87" s="441">
        <v>20</v>
      </c>
      <c r="BB87" t="s" s="342">
        <f>TRIM(MID(SUBSTITUTE($AW$68,$BA$64,REPT(" ",LEN($AW$68))),($BA87-1)*LEN($AW$68)+1,LEN($AW$68)))</f>
      </c>
      <c r="BC87" t="s" s="342">
        <f>TRIM(MID(SUBSTITUTE($AW$69,$BA$64,REPT(" ",LEN($AW$69))),($BA87-1)*LEN($AW$69)+1,LEN($AW$69)))</f>
      </c>
      <c r="BD87" t="s" s="342">
        <f>TRIM(MID(SUBSTITUTE($AW$70,$BA$64,REPT(" ",LEN($AW$70))),($BA87-1)*LEN($AW$70)+1,LEN($AW$70)))</f>
      </c>
      <c r="BE87" t="s" s="342">
        <f>TRIM(MID(SUBSTITUTE($AW$71,$BA$64,REPT(" ",LEN($AW$71))),($BA87-1)*LEN($AW$71)+1,LEN($AW$71)))</f>
      </c>
      <c r="BF87" t="s" s="342">
        <f>TRIM(MID(SUBSTITUTE($AW$72,$BA$64,REPT(" ",LEN($AW$72))),($BA87-1)*LEN($AW$72)+1,LEN($AW$72)))</f>
      </c>
      <c r="BG87" t="s" s="342">
        <f>TRIM(MID(SUBSTITUTE($AW$73,$BA$64,REPT(" ",LEN($AW$73))),($BA87-1)*LEN($AW$73)+1,LEN($AW$73)))</f>
      </c>
      <c r="BH87" t="s" s="342">
        <f>TRIM(MID(SUBSTITUTE($AW$74,$BA$64,REPT(" ",LEN($AW$74))),($BA87-1)*LEN($AW$74)+1,LEN($AW$74)))</f>
      </c>
      <c r="BI87" t="s" s="342">
        <f>TRIM(MID(SUBSTITUTE($AW$75,$BA$64,REPT(" ",LEN($AW$75))),($BA87-1)*LEN($AW$75)+1,LEN($AW$75)))</f>
      </c>
      <c r="BJ87" t="s" s="342">
        <f>TRIM(MID(SUBSTITUTE($AW$76,$BA$64,REPT(" ",LEN($AW$76))),($BA87-1)*LEN($AW$76)+1,LEN($AW$76)))</f>
      </c>
      <c r="BK87" t="s" s="342">
        <f>TRIM(MID(SUBSTITUTE($AW$77,$BA$64,REPT(" ",LEN($AW$77))),($BA87-1)*LEN($AW$77)+1,LEN($AW$77)))</f>
      </c>
      <c r="BL87" t="s" s="342">
        <f>TRIM(MID(SUBSTITUTE($AW$78,$BA$64,REPT(" ",LEN($AW$78))),($BA87-1)*LEN($AW$78)+1,LEN($AW$78)))</f>
      </c>
      <c r="BM87" t="s" s="342">
        <f>TRIM(MID(SUBSTITUTE($AW$79,$BA$64,REPT(" ",LEN($AW$79))),($BA87-1)*LEN($AW$79)+1,LEN($AW$79)))</f>
      </c>
      <c r="BN87" t="s" s="342">
        <f>TRIM(MID(SUBSTITUTE($AW$80,$BA$64,REPT(" ",LEN($AW$80))),($BA87-1)*LEN($AW$80)+1,LEN($AW$80)))</f>
      </c>
      <c r="BO87" t="s" s="342">
        <f>TRIM(MID(SUBSTITUTE($AW$81,$BA$64,REPT(" ",LEN($AW$81))),($BA87-1)*LEN($AW$81)+1,LEN($AW$81)))</f>
      </c>
      <c r="BP87" t="s" s="342">
        <f>TRIM(MID(SUBSTITUTE($AW$82,$BA$64,REPT(" ",LEN($AW$82))),($BA87-1)*LEN($AW$82)+1,LEN($AW$82)))</f>
      </c>
      <c r="BQ87" t="s" s="342">
        <f>TRIM(MID(SUBSTITUTE($AW$83,$BA$64,REPT(" ",LEN($AW$83))),($BA87-1)*LEN($AW$83)+1,LEN($AW$83)))</f>
      </c>
      <c r="BR87" t="s" s="342">
        <f>TRIM(MID(SUBSTITUTE($AW$84,$BA$64,REPT(" ",LEN($AW$84))),($BA87-1)*LEN($AW$84)+1,LEN($AW$84)))</f>
      </c>
      <c r="BS87" t="s" s="342">
        <f>TRIM(MID(SUBSTITUTE($AW$85,$BA$64,REPT(" ",LEN($AW$85))),($BA87-1)*LEN($AW$85)+1,LEN($AW$85)))</f>
      </c>
      <c r="BT87" t="s" s="342">
        <f>TRIM(MID(SUBSTITUTE($AW$86,$BA$64,REPT(" ",LEN($AW$86))),($BA87-1)*LEN($AW$86)+1,LEN($AW$86)))</f>
      </c>
      <c r="BU87" t="s" s="531">
        <f>TRIM(MID(SUBSTITUTE($AW$87,$BA$64,REPT(" ",LEN($AW$87))),($BA87-1)*LEN($AW$87)+1,LEN($AW$87)))</f>
      </c>
      <c r="BV87" t="s" s="285">
        <f>IF(BX87=0,"",CONCATENATE(BW87,"68:",BW87,BX87+67))</f>
      </c>
      <c r="BW87" t="s" s="291">
        <v>243</v>
      </c>
      <c r="BX87" s="518">
        <f>BU66</f>
        <v>0</v>
      </c>
      <c r="BY87" s="459"/>
      <c r="BZ87" s="161"/>
      <c r="CA87" s="161"/>
      <c r="CB87" s="161"/>
      <c r="CC87" s="161"/>
      <c r="CD87" s="161"/>
      <c r="CE87" s="161"/>
      <c r="CF87" s="161"/>
      <c r="CG87" s="161"/>
      <c r="CH87" s="161"/>
      <c r="CI87" s="161"/>
      <c r="CJ87" s="161"/>
      <c r="CK87" s="161"/>
      <c r="CL87" s="161"/>
      <c r="CM87" s="161"/>
      <c r="CN87" s="161"/>
      <c r="CO87" s="161"/>
      <c r="CP87" s="161"/>
      <c r="CQ87" s="161"/>
      <c r="CR87" s="161"/>
      <c r="CS87" s="161"/>
      <c r="CT87" s="161"/>
      <c r="CU87" s="161"/>
      <c r="CV87" s="161"/>
      <c r="CW87" s="161"/>
      <c r="CX87" s="161"/>
      <c r="CY87" s="161"/>
      <c r="CZ87" s="161"/>
      <c r="DA87" s="161"/>
      <c r="DB87" s="161"/>
      <c r="DC87" s="161"/>
      <c r="DD87" s="161"/>
      <c r="DE87" s="161"/>
      <c r="DF87" s="161"/>
      <c r="DG87" s="161"/>
      <c r="DH87" s="161"/>
      <c r="DI87" s="161"/>
      <c r="DJ87" s="161"/>
      <c r="DK87" s="161"/>
      <c r="DL87" s="161"/>
      <c r="DM87" s="161"/>
      <c r="DN87" s="161"/>
      <c r="DO87" s="161"/>
      <c r="DP87" s="161"/>
      <c r="DQ87" s="161"/>
      <c r="DR87" s="161"/>
      <c r="DS87" s="161"/>
      <c r="DT87" s="161"/>
      <c r="DU87" s="161"/>
      <c r="DV87" s="161"/>
      <c r="DW87" s="161"/>
      <c r="DX87" s="161"/>
    </row>
    <row r="88" ht="32.45" customHeight="1">
      <c r="A88" s="242"/>
      <c r="B88" t="s" s="430">
        <v>147</v>
      </c>
      <c r="C88" t="s" s="325">
        <v>148</v>
      </c>
      <c r="D88" t="s" s="536">
        <v>149</v>
      </c>
      <c r="E88" t="s" s="325">
        <f>IF(AX88="","",AX88)</f>
        <v>244</v>
      </c>
      <c r="F88" t="s" s="537">
        <v>149</v>
      </c>
      <c r="G88" s="330"/>
      <c r="H88" t="s" s="434">
        <v>138</v>
      </c>
      <c r="I88" s="538">
        <v>0</v>
      </c>
      <c r="J88" t="s" s="539">
        <f>IF(F88="","",VLOOKUP(F88,'10. Condition and Temporal'!$B$6:$F$103,5,FALSE))</f>
        <v>245</v>
      </c>
      <c r="K88" s="540"/>
      <c r="L88" s="334">
        <f>_xlfn.IFERROR(IF(D88="","",IF(AX88="Distinctiveness",(((((I88*AH88*AJ88)-(I88*V88*X88))*(AV88*AT88))+(I88*V88*X88))*(AP88))/10000,((((I88*AJ88*AH88)-(I88*V88*X88))*(AV88*AR88))+(I88*V88*X88))*AP88/10000)),"This intervention is not permitted within the SSM ▲")</f>
        <v>0</v>
      </c>
      <c r="M88" s="541">
        <f>L88-AD88</f>
        <v>0</v>
      </c>
      <c r="N88" s="450"/>
      <c r="O88" s="439"/>
      <c r="P88" s="440"/>
      <c r="Q88" s="380"/>
      <c r="R88" s="219"/>
      <c r="S88" s="381"/>
      <c r="T88" s="542">
        <f>IF(D88="","",K31)</f>
        <v>0</v>
      </c>
      <c r="U88" t="s" s="543">
        <f>IF($D88="","",T31)</f>
        <v>246</v>
      </c>
      <c r="V88" s="544">
        <f>IF($D88="","",V31)</f>
        <v>4</v>
      </c>
      <c r="W88" t="s" s="543">
        <f>IF($D88="","",W31)</f>
        <v>152</v>
      </c>
      <c r="X88" s="545">
        <f>IF($D88="","",X31)</f>
        <v>2</v>
      </c>
      <c r="Y88" s="546"/>
      <c r="Z88" s="546"/>
      <c r="AA88" s="546"/>
      <c r="AB88" t="s" s="547">
        <f>IF($D88="","",AB31)</f>
        <v>153</v>
      </c>
      <c r="AC88" s="545">
        <f>IF($D88="","",AD31)</f>
        <v>1.15</v>
      </c>
      <c r="AD88" s="544">
        <f>IF(AC88="","",(T88*V88*X88)*(AA88*AC88)/10000)</f>
        <v>0</v>
      </c>
      <c r="AE88" t="s" s="548">
        <f>IF(AD88="","",IF(AH88&lt;V88,"Not Acceptable","Acceptable"))</f>
        <v>247</v>
      </c>
      <c r="AF88" s="542">
        <f>IF(D88="","",I88)</f>
        <v>0</v>
      </c>
      <c r="AG88" t="s" s="543">
        <f>IF(D88="","",VLOOKUP(F88,'9. All Habitats + Multipliers'!$C$4:$K$102,5,FALSE))</f>
        <v>151</v>
      </c>
      <c r="AH88" s="544">
        <f>IF(AG88="","",VLOOKUP(AG88,'11. Lists'!$B$47:$D$49,2,FALSE))</f>
        <v>4</v>
      </c>
      <c r="AI88" t="s" s="548">
        <f>IF(D88="","",J88)</f>
        <v>245</v>
      </c>
      <c r="AJ88" s="549">
        <f>IF(AI88="","",VLOOKUP(AI88,'11. Lists'!$F$47:$G$51,2,FALSE))</f>
        <v>3</v>
      </c>
      <c r="AK88" s="533"/>
      <c r="AL88" s="533"/>
      <c r="AM88" s="533"/>
      <c r="AN88" t="s" s="550">
        <f>IF(H88="","",H88)</f>
        <v>141</v>
      </c>
      <c r="AO88" t="s" s="543">
        <f>IF(AN88="","",VLOOKUP(AN88,'11. Lists'!$F$36:$H$38,2,FALSE))</f>
        <v>142</v>
      </c>
      <c r="AP88" s="544">
        <f>IF(AN88="","",VLOOKUP(AN88,'11. Lists'!$F$36:$H$38,3,FALSE))</f>
        <v>1</v>
      </c>
      <c r="AQ88" s="549">
        <f>IF(D88="","",VLOOKUP(F88,'10. Condition and Temporal'!$B$6:$L$103,11,FALSE))</f>
        <v>16</v>
      </c>
      <c r="AR88" s="551">
        <f>IF(AQ88="","",VLOOKUP(AQ88,'11. Lists'!$I$47:$K$80,3,FALSE))</f>
        <v>0.5655057348</v>
      </c>
      <c r="AS88" t="s" s="543">
        <f>IF(D88="","",VLOOKUP(F88,'10. Condition and Temporal'!$B$6:$M$106,12,FALSE))</f>
        <v>248</v>
      </c>
      <c r="AT88" t="s" s="509">
        <f>IF(AS88="","",IF(AS88="N/A","1",VLOOKUP(AS88,'11. Lists'!$I$47:$K$80,3,FALSE)))</f>
        <v>249</v>
      </c>
      <c r="AU88" t="s" s="543">
        <f>IF(D88="","",VLOOKUP(F88,'9. All Habitats + Multipliers'!$C$4:$K$102,8,FALSE))</f>
        <v>177</v>
      </c>
      <c r="AV88" s="544">
        <f>IF(AU88="","",VLOOKUP(AU88,'11. Lists'!$J$35:$K$38,2,FALSE))</f>
        <v>1</v>
      </c>
      <c r="AW88" t="s" s="543">
        <f>IF(D88="","",VLOOKUP(D88,'10. Condition and Temporal'!$B$6:$M$103,4,FALSE))</f>
        <v>156</v>
      </c>
      <c r="AX88" t="s" s="550">
        <f>IF(F88="","",IF(D88=F88,"Condition","Distinctivness"))</f>
        <v>250</v>
      </c>
      <c r="AY88" t="s" s="552">
        <f>C88</f>
        <v>148</v>
      </c>
      <c r="AZ88" s="161"/>
      <c r="BA88" s="348"/>
      <c r="BB88" s="348"/>
      <c r="BC88" s="348"/>
      <c r="BD88" s="348"/>
      <c r="BE88" s="348"/>
      <c r="BF88" s="348"/>
      <c r="BG88" s="348"/>
      <c r="BH88" s="348"/>
      <c r="BI88" s="348"/>
      <c r="BJ88" s="348"/>
      <c r="BK88" s="348"/>
      <c r="BL88" s="348"/>
      <c r="BM88" s="348"/>
      <c r="BN88" s="348"/>
      <c r="BO88" s="348"/>
      <c r="BP88" s="348"/>
      <c r="BQ88" s="348"/>
      <c r="BR88" s="348"/>
      <c r="BS88" s="348"/>
      <c r="BT88" s="348"/>
      <c r="BU88" s="348"/>
      <c r="BV88" s="356"/>
      <c r="BW88" s="356"/>
      <c r="BX88" s="356"/>
      <c r="BY88" s="161"/>
      <c r="BZ88" s="161"/>
      <c r="CA88" s="161"/>
      <c r="CB88" s="161"/>
      <c r="CC88" s="161"/>
      <c r="CD88" s="161"/>
      <c r="CE88" s="161"/>
      <c r="CF88" s="161"/>
      <c r="CG88" s="161"/>
      <c r="CH88" s="161"/>
      <c r="CI88" s="161"/>
      <c r="CJ88" s="161"/>
      <c r="CK88" s="161"/>
      <c r="CL88" s="161"/>
      <c r="CM88" s="161"/>
      <c r="CN88" s="161"/>
      <c r="CO88" s="161"/>
      <c r="CP88" s="161"/>
      <c r="CQ88" s="161"/>
      <c r="CR88" s="161"/>
      <c r="CS88" s="161"/>
      <c r="CT88" s="161"/>
      <c r="CU88" s="161"/>
      <c r="CV88" s="161"/>
      <c r="CW88" s="161"/>
      <c r="CX88" s="161"/>
      <c r="CY88" s="161"/>
      <c r="CZ88" s="161"/>
      <c r="DA88" s="161"/>
      <c r="DB88" s="161"/>
      <c r="DC88" s="161"/>
      <c r="DD88" s="161"/>
      <c r="DE88" s="161"/>
      <c r="DF88" s="161"/>
      <c r="DG88" s="161"/>
      <c r="DH88" s="161"/>
      <c r="DI88" s="161"/>
      <c r="DJ88" s="161"/>
      <c r="DK88" s="161"/>
      <c r="DL88" s="161"/>
      <c r="DM88" s="161"/>
      <c r="DN88" s="161"/>
      <c r="DO88" s="161"/>
      <c r="DP88" s="161"/>
      <c r="DQ88" s="161"/>
      <c r="DR88" s="161"/>
      <c r="DS88" s="161"/>
      <c r="DT88" s="161"/>
      <c r="DU88" s="161"/>
      <c r="DV88" s="161"/>
      <c r="DW88" s="161"/>
      <c r="DX88" s="161"/>
    </row>
    <row r="89" ht="15" customHeight="1">
      <c r="A89" s="347"/>
      <c r="B89" s="348"/>
      <c r="C89" s="348"/>
      <c r="D89" s="348"/>
      <c r="E89" s="348"/>
      <c r="F89" s="348"/>
      <c r="G89" s="443"/>
      <c r="H89" t="s" s="352">
        <v>157</v>
      </c>
      <c r="I89" s="553">
        <f>_xlfn.SUMIFS(I68:I87,F68:F87,"&lt;&gt;"&amp;'11. Lists'!Q10,F68:F87,"&lt;&gt;"&amp;'11. Lists'!Q11,F68:F87,"&lt;&gt;"&amp;'11. Lists'!I4,F68:F87,"&lt;&gt;"&amp;'11. Lists'!I2,F68:F87,"&lt;&gt;"&amp;'11. Lists'!I3)</f>
        <v>0</v>
      </c>
      <c r="J89" s="554"/>
      <c r="K89" s="555"/>
      <c r="L89" s="556">
        <f>SUM(L68:L88)</f>
        <v>0</v>
      </c>
      <c r="M89" s="448">
        <f>SUM(M68:N88)</f>
        <v>0</v>
      </c>
      <c r="N89" s="450"/>
      <c r="O89" s="355"/>
      <c r="P89" s="348"/>
      <c r="Q89" s="161"/>
      <c r="R89" s="219"/>
      <c r="S89" s="161"/>
      <c r="T89" s="348"/>
      <c r="U89" s="348"/>
      <c r="V89" s="348"/>
      <c r="W89" s="348"/>
      <c r="X89" s="348"/>
      <c r="Y89" s="348"/>
      <c r="Z89" s="348"/>
      <c r="AA89" s="348"/>
      <c r="AB89" s="348"/>
      <c r="AC89" s="348"/>
      <c r="AD89" s="348"/>
      <c r="AE89" s="348"/>
      <c r="AF89" s="348"/>
      <c r="AG89" s="348"/>
      <c r="AH89" s="348"/>
      <c r="AI89" s="348"/>
      <c r="AJ89" s="348"/>
      <c r="AK89" s="348"/>
      <c r="AL89" s="348"/>
      <c r="AM89" s="348"/>
      <c r="AN89" s="348"/>
      <c r="AO89" s="348"/>
      <c r="AP89" s="348"/>
      <c r="AQ89" s="348"/>
      <c r="AR89" s="348"/>
      <c r="AS89" s="348"/>
      <c r="AT89" s="356"/>
      <c r="AU89" s="348"/>
      <c r="AV89" s="348"/>
      <c r="AW89" s="348"/>
      <c r="AX89" s="348"/>
      <c r="AY89" s="161"/>
      <c r="AZ89" s="161"/>
      <c r="BA89" s="161"/>
      <c r="BB89" s="161"/>
      <c r="BC89" s="161"/>
      <c r="BD89" s="161"/>
      <c r="BE89" s="161"/>
      <c r="BF89" s="161"/>
      <c r="BG89" s="161"/>
      <c r="BH89" s="161"/>
      <c r="BI89" s="161"/>
      <c r="BJ89" s="161"/>
      <c r="BK89" s="161"/>
      <c r="BL89" s="161"/>
      <c r="BM89" s="161"/>
      <c r="BN89" s="161"/>
      <c r="BO89" s="161"/>
      <c r="BP89" s="161"/>
      <c r="BQ89" s="161"/>
      <c r="BR89" s="161"/>
      <c r="BS89" s="161"/>
      <c r="BT89" s="161"/>
      <c r="BU89" s="161"/>
      <c r="BV89" s="161"/>
      <c r="BW89" s="161"/>
      <c r="BX89" s="161"/>
      <c r="BY89" s="161"/>
      <c r="BZ89" s="161"/>
      <c r="CA89" s="161"/>
      <c r="CB89" s="161"/>
      <c r="CC89" s="161"/>
      <c r="CD89" s="161"/>
      <c r="CE89" s="161"/>
      <c r="CF89" s="161"/>
      <c r="CG89" s="161"/>
      <c r="CH89" s="161"/>
      <c r="CI89" s="161"/>
      <c r="CJ89" s="161"/>
      <c r="CK89" s="161"/>
      <c r="CL89" s="161"/>
      <c r="CM89" s="161"/>
      <c r="CN89" s="161"/>
      <c r="CO89" s="161"/>
      <c r="CP89" s="161"/>
      <c r="CQ89" s="161"/>
      <c r="CR89" s="161"/>
      <c r="CS89" s="161"/>
      <c r="CT89" s="161"/>
      <c r="CU89" s="161"/>
      <c r="CV89" s="161"/>
      <c r="CW89" s="161"/>
      <c r="CX89" s="161"/>
      <c r="CY89" s="161"/>
      <c r="CZ89" s="161"/>
      <c r="DA89" s="161"/>
      <c r="DB89" s="161"/>
      <c r="DC89" s="161"/>
      <c r="DD89" s="161"/>
      <c r="DE89" s="161"/>
      <c r="DF89" s="161"/>
      <c r="DG89" s="161"/>
      <c r="DH89" s="161"/>
      <c r="DI89" s="161"/>
      <c r="DJ89" s="161"/>
      <c r="DK89" s="161"/>
      <c r="DL89" s="161"/>
      <c r="DM89" s="161"/>
      <c r="DN89" s="161"/>
      <c r="DO89" s="161"/>
      <c r="DP89" s="161"/>
      <c r="DQ89" s="161"/>
      <c r="DR89" s="161"/>
      <c r="DS89" s="161"/>
      <c r="DT89" s="161"/>
      <c r="DU89" s="161"/>
      <c r="DV89" s="161"/>
      <c r="DW89" s="161"/>
      <c r="DX89" s="161"/>
    </row>
    <row r="90" ht="14.05" customHeight="1">
      <c r="A90" s="347"/>
      <c r="B90" s="161"/>
      <c r="C90" s="460"/>
      <c r="D90" s="161"/>
      <c r="E90" s="161"/>
      <c r="F90" s="161"/>
      <c r="G90" s="161"/>
      <c r="H90" s="348"/>
      <c r="I90" s="348"/>
      <c r="J90" s="348"/>
      <c r="K90" s="348"/>
      <c r="L90" s="348"/>
      <c r="M90" s="348"/>
      <c r="N90" s="348"/>
      <c r="O90" s="161"/>
      <c r="P90" s="161"/>
      <c r="Q90" s="161"/>
      <c r="R90" s="219"/>
      <c r="S90" s="161"/>
      <c r="T90" s="161"/>
      <c r="U90" s="161"/>
      <c r="V90" s="161"/>
      <c r="W90" s="161"/>
      <c r="X90" s="161"/>
      <c r="Y90" s="161"/>
      <c r="Z90" s="161"/>
      <c r="AA90" s="161"/>
      <c r="AB90" s="161"/>
      <c r="AC90" s="161"/>
      <c r="AD90" s="161"/>
      <c r="AE90" s="161"/>
      <c r="AF90" s="161"/>
      <c r="AG90" s="161"/>
      <c r="AH90" s="161"/>
      <c r="AI90" s="161"/>
      <c r="AJ90" s="161"/>
      <c r="AK90" s="161"/>
      <c r="AL90" s="161"/>
      <c r="AM90" s="161"/>
      <c r="AN90" s="161"/>
      <c r="AO90" s="161"/>
      <c r="AP90" s="161"/>
      <c r="AQ90" s="161"/>
      <c r="AR90" s="161"/>
      <c r="AS90" s="161"/>
      <c r="AT90" s="161"/>
      <c r="AU90" s="161"/>
      <c r="AV90" s="161"/>
      <c r="AW90" s="161"/>
      <c r="AX90" s="161"/>
      <c r="AY90" s="161"/>
      <c r="AZ90" s="161"/>
      <c r="BA90" s="161"/>
      <c r="BB90" s="161"/>
      <c r="BC90" s="161"/>
      <c r="BD90" s="161"/>
      <c r="BE90" s="161"/>
      <c r="BF90" s="161"/>
      <c r="BG90" s="161"/>
      <c r="BH90" s="161"/>
      <c r="BI90" s="161"/>
      <c r="BJ90" s="161"/>
      <c r="BK90" s="161"/>
      <c r="BL90" s="161"/>
      <c r="BM90" s="161"/>
      <c r="BN90" s="161"/>
      <c r="BO90" s="161"/>
      <c r="BP90" s="161"/>
      <c r="BQ90" s="161"/>
      <c r="BR90" s="161"/>
      <c r="BS90" s="161"/>
      <c r="BT90" s="161"/>
      <c r="BU90" s="161"/>
      <c r="BV90" s="161"/>
      <c r="BW90" s="161"/>
      <c r="BX90" s="161"/>
      <c r="BY90" s="161"/>
      <c r="BZ90" s="161"/>
      <c r="CA90" s="161"/>
      <c r="CB90" s="161"/>
      <c r="CC90" s="161"/>
      <c r="CD90" s="161"/>
      <c r="CE90" s="161"/>
      <c r="CF90" s="161"/>
      <c r="CG90" s="161"/>
      <c r="CH90" s="161"/>
      <c r="CI90" s="161"/>
      <c r="CJ90" s="161"/>
      <c r="CK90" s="161"/>
      <c r="CL90" s="161"/>
      <c r="CM90" s="161"/>
      <c r="CN90" s="161"/>
      <c r="CO90" s="161"/>
      <c r="CP90" s="161"/>
      <c r="CQ90" s="161"/>
      <c r="CR90" s="161"/>
      <c r="CS90" s="161"/>
      <c r="CT90" s="161"/>
      <c r="CU90" s="161"/>
      <c r="CV90" s="161"/>
      <c r="CW90" s="161"/>
      <c r="CX90" s="161"/>
      <c r="CY90" s="161"/>
      <c r="CZ90" s="161"/>
      <c r="DA90" s="161"/>
      <c r="DB90" s="161"/>
      <c r="DC90" s="161"/>
      <c r="DD90" s="161"/>
      <c r="DE90" s="161"/>
      <c r="DF90" s="161"/>
      <c r="DG90" s="161"/>
      <c r="DH90" s="161"/>
      <c r="DI90" s="161"/>
      <c r="DJ90" s="161"/>
      <c r="DK90" s="161"/>
      <c r="DL90" s="161"/>
      <c r="DM90" s="161"/>
      <c r="DN90" s="161"/>
      <c r="DO90" s="161"/>
      <c r="DP90" s="161"/>
      <c r="DQ90" s="161"/>
      <c r="DR90" s="161"/>
      <c r="DS90" s="161"/>
      <c r="DT90" s="161"/>
      <c r="DU90" s="161"/>
      <c r="DV90" s="161"/>
      <c r="DW90" s="161"/>
      <c r="DX90" s="161"/>
    </row>
    <row r="91" ht="21" customHeight="1">
      <c r="A91" s="347"/>
      <c r="B91" t="s" s="374">
        <v>251</v>
      </c>
      <c r="C91" s="161"/>
      <c r="D91" s="161"/>
      <c r="E91" s="161"/>
      <c r="F91" s="161"/>
      <c r="G91" s="161"/>
      <c r="H91" s="161"/>
      <c r="I91" s="161"/>
      <c r="J91" s="161"/>
      <c r="K91" s="161"/>
      <c r="L91" s="161"/>
      <c r="M91" s="161"/>
      <c r="N91" s="161"/>
      <c r="O91" s="161"/>
      <c r="P91" s="161"/>
      <c r="Q91" s="161"/>
      <c r="R91" s="219"/>
      <c r="S91" s="161"/>
      <c r="T91" s="161"/>
      <c r="U91" s="161"/>
      <c r="V91" s="161"/>
      <c r="W91" s="161"/>
      <c r="X91" s="161"/>
      <c r="Y91" s="161"/>
      <c r="Z91" s="161"/>
      <c r="AA91" s="161"/>
      <c r="AB91" s="161"/>
      <c r="AC91" s="161"/>
      <c r="AD91" s="161"/>
      <c r="AE91" s="161"/>
      <c r="AF91" s="161"/>
      <c r="AG91" s="161"/>
      <c r="AH91" s="161"/>
      <c r="AI91" s="161"/>
      <c r="AJ91" s="161"/>
      <c r="AK91" s="161"/>
      <c r="AL91" s="161"/>
      <c r="AM91" s="161"/>
      <c r="AN91" s="161"/>
      <c r="AO91" s="161"/>
      <c r="AP91" s="161"/>
      <c r="AQ91" s="161"/>
      <c r="AR91" s="161"/>
      <c r="AS91" s="161"/>
      <c r="AT91" s="161"/>
      <c r="AU91" s="161"/>
      <c r="AV91" s="161"/>
      <c r="AW91" s="161"/>
      <c r="AX91" s="161"/>
      <c r="AY91" s="161"/>
      <c r="AZ91" s="161"/>
      <c r="BA91" s="161"/>
      <c r="BB91" s="161"/>
      <c r="BC91" s="161"/>
      <c r="BD91" s="161"/>
      <c r="BE91" s="161"/>
      <c r="BF91" s="161"/>
      <c r="BG91" s="161"/>
      <c r="BH91" s="161"/>
      <c r="BI91" s="161"/>
      <c r="BJ91" s="161"/>
      <c r="BK91" s="161"/>
      <c r="BL91" s="161"/>
      <c r="BM91" s="161"/>
      <c r="BN91" s="161"/>
      <c r="BO91" s="161"/>
      <c r="BP91" s="161"/>
      <c r="BQ91" s="161"/>
      <c r="BR91" s="161"/>
      <c r="BS91" s="161"/>
      <c r="BT91" s="161"/>
      <c r="BU91" s="161"/>
      <c r="BV91" s="161"/>
      <c r="BW91" s="161"/>
      <c r="BX91" s="161"/>
      <c r="BY91" s="161"/>
      <c r="BZ91" s="161"/>
      <c r="CA91" s="161"/>
      <c r="CB91" s="161"/>
      <c r="CC91" s="161"/>
      <c r="CD91" s="161"/>
      <c r="CE91" s="161"/>
      <c r="CF91" s="161"/>
      <c r="CG91" s="161"/>
      <c r="CH91" s="161"/>
      <c r="CI91" s="161"/>
      <c r="CJ91" s="161"/>
      <c r="CK91" s="161"/>
      <c r="CL91" s="161"/>
      <c r="CM91" s="161"/>
      <c r="CN91" s="161"/>
      <c r="CO91" s="161"/>
      <c r="CP91" s="161"/>
      <c r="CQ91" s="161"/>
      <c r="CR91" s="161"/>
      <c r="CS91" s="161"/>
      <c r="CT91" s="161"/>
      <c r="CU91" s="161"/>
      <c r="CV91" s="161"/>
      <c r="CW91" s="161"/>
      <c r="CX91" s="161"/>
      <c r="CY91" s="161"/>
      <c r="CZ91" s="161"/>
      <c r="DA91" s="161"/>
      <c r="DB91" s="161"/>
      <c r="DC91" s="161"/>
      <c r="DD91" s="161"/>
      <c r="DE91" s="161"/>
      <c r="DF91" s="161"/>
      <c r="DG91" s="161"/>
      <c r="DH91" s="161"/>
      <c r="DI91" s="161"/>
      <c r="DJ91" s="161"/>
      <c r="DK91" s="161"/>
      <c r="DL91" s="161"/>
      <c r="DM91" s="161"/>
      <c r="DN91" s="161"/>
      <c r="DO91" s="161"/>
      <c r="DP91" s="161"/>
      <c r="DQ91" s="161"/>
      <c r="DR91" s="161"/>
      <c r="DS91" s="161"/>
      <c r="DT91" s="161"/>
      <c r="DU91" s="161"/>
      <c r="DV91" s="161"/>
      <c r="DW91" s="161"/>
      <c r="DX91" s="161"/>
    </row>
    <row r="92" ht="15" customHeight="1">
      <c r="A92" s="347"/>
      <c r="B92" s="378"/>
      <c r="C92" s="378"/>
      <c r="D92" s="557"/>
      <c r="E92" s="378"/>
      <c r="F92" s="378"/>
      <c r="G92" s="378"/>
      <c r="H92" s="378"/>
      <c r="I92" s="378"/>
      <c r="J92" s="378"/>
      <c r="K92" s="378"/>
      <c r="L92" s="378"/>
      <c r="M92" s="378"/>
      <c r="N92" s="378"/>
      <c r="O92" s="378"/>
      <c r="P92" s="378"/>
      <c r="Q92" s="161"/>
      <c r="R92" s="219"/>
      <c r="S92" s="161"/>
      <c r="T92" s="161"/>
      <c r="U92" s="161"/>
      <c r="V92" s="161"/>
      <c r="W92" s="161"/>
      <c r="X92" s="161"/>
      <c r="Y92" s="161"/>
      <c r="Z92" s="161"/>
      <c r="AA92" s="161"/>
      <c r="AB92" s="161"/>
      <c r="AC92" s="161"/>
      <c r="AD92" s="161"/>
      <c r="AE92" s="161"/>
      <c r="AF92" s="161"/>
      <c r="AG92" s="161"/>
      <c r="AH92" s="161"/>
      <c r="AI92" s="161"/>
      <c r="AJ92" s="161"/>
      <c r="AK92" s="161"/>
      <c r="AL92" s="161"/>
      <c r="AM92" s="161"/>
      <c r="AN92" s="161"/>
      <c r="AO92" s="161"/>
      <c r="AP92" s="161"/>
      <c r="AQ92" s="161"/>
      <c r="AR92" s="161"/>
      <c r="AS92" s="161"/>
      <c r="AT92" s="161"/>
      <c r="AU92" s="161"/>
      <c r="AV92" s="161"/>
      <c r="AW92" s="161"/>
      <c r="AX92" s="161"/>
      <c r="AY92" s="161"/>
      <c r="AZ92" s="161"/>
      <c r="BA92" s="161"/>
      <c r="BB92" s="161"/>
      <c r="BC92" s="161"/>
      <c r="BD92" s="161"/>
      <c r="BE92" s="161"/>
      <c r="BF92" s="161"/>
      <c r="BG92" s="161"/>
      <c r="BH92" s="161"/>
      <c r="BI92" s="161"/>
      <c r="BJ92" s="161"/>
      <c r="BK92" s="161"/>
      <c r="BL92" s="161"/>
      <c r="BM92" s="161"/>
      <c r="BN92" s="161"/>
      <c r="BO92" s="161"/>
      <c r="BP92" s="161"/>
      <c r="BQ92" s="161"/>
      <c r="BR92" s="161"/>
      <c r="BS92" s="161"/>
      <c r="BT92" s="161"/>
      <c r="BU92" s="161"/>
      <c r="BV92" s="161"/>
      <c r="BW92" s="161"/>
      <c r="BX92" s="161"/>
      <c r="BY92" s="161"/>
      <c r="BZ92" s="161"/>
      <c r="CA92" s="161"/>
      <c r="CB92" s="161"/>
      <c r="CC92" s="161"/>
      <c r="CD92" s="161"/>
      <c r="CE92" s="161"/>
      <c r="CF92" s="161"/>
      <c r="CG92" s="161"/>
      <c r="CH92" s="161"/>
      <c r="CI92" s="161"/>
      <c r="CJ92" s="161"/>
      <c r="CK92" s="161"/>
      <c r="CL92" s="161"/>
      <c r="CM92" s="161"/>
      <c r="CN92" s="161"/>
      <c r="CO92" s="161"/>
      <c r="CP92" s="161"/>
      <c r="CQ92" s="161"/>
      <c r="CR92" s="161"/>
      <c r="CS92" s="161"/>
      <c r="CT92" s="161"/>
      <c r="CU92" s="161"/>
      <c r="CV92" s="161"/>
      <c r="CW92" s="161"/>
      <c r="CX92" s="161"/>
      <c r="CY92" s="161"/>
      <c r="CZ92" s="161"/>
      <c r="DA92" s="161"/>
      <c r="DB92" s="161"/>
      <c r="DC92" s="161"/>
      <c r="DD92" s="161"/>
      <c r="DE92" s="161"/>
      <c r="DF92" s="161"/>
      <c r="DG92" s="161"/>
      <c r="DH92" s="161"/>
      <c r="DI92" s="161"/>
      <c r="DJ92" s="161"/>
      <c r="DK92" s="161"/>
      <c r="DL92" s="161"/>
      <c r="DM92" s="161"/>
      <c r="DN92" s="161"/>
      <c r="DO92" s="161"/>
      <c r="DP92" s="161"/>
      <c r="DQ92" s="161"/>
      <c r="DR92" s="161"/>
      <c r="DS92" s="161"/>
      <c r="DT92" s="161"/>
      <c r="DU92" s="161"/>
      <c r="DV92" s="161"/>
      <c r="DW92" s="161"/>
      <c r="DX92" s="161"/>
    </row>
    <row r="93" ht="48" customHeight="1">
      <c r="A93" s="379"/>
      <c r="B93" t="s" s="246">
        <v>252</v>
      </c>
      <c r="C93" s="248"/>
      <c r="D93" t="s" s="558">
        <v>253</v>
      </c>
      <c r="E93" t="s" s="559">
        <v>254</v>
      </c>
      <c r="F93" s="560"/>
      <c r="G93" t="s" s="559">
        <v>255</v>
      </c>
      <c r="H93" s="248"/>
      <c r="I93" t="s" s="561">
        <v>256</v>
      </c>
      <c r="J93" s="562"/>
      <c r="K93" s="562"/>
      <c r="L93" s="562"/>
      <c r="M93" s="562"/>
      <c r="N93" s="562"/>
      <c r="O93" s="562"/>
      <c r="P93" s="563"/>
      <c r="Q93" s="380"/>
      <c r="R93" s="219"/>
      <c r="S93" s="161"/>
      <c r="T93" s="161"/>
      <c r="U93" s="161"/>
      <c r="V93" s="161"/>
      <c r="W93" s="161"/>
      <c r="X93" s="161"/>
      <c r="Y93" s="161"/>
      <c r="Z93" s="161"/>
      <c r="AA93" s="161"/>
      <c r="AB93" s="161"/>
      <c r="AC93" s="161"/>
      <c r="AD93" s="161"/>
      <c r="AE93" s="161"/>
      <c r="AF93" s="161"/>
      <c r="AG93" s="161"/>
      <c r="AH93" s="161"/>
      <c r="AI93" s="161"/>
      <c r="AJ93" s="161"/>
      <c r="AK93" s="161"/>
      <c r="AL93" s="161"/>
      <c r="AM93" s="161"/>
      <c r="AN93" s="161"/>
      <c r="AO93" s="161"/>
      <c r="AP93" s="161"/>
      <c r="AQ93" s="161"/>
      <c r="AR93" s="161"/>
      <c r="AS93" s="161"/>
      <c r="AT93" s="161"/>
      <c r="AU93" s="161"/>
      <c r="AV93" s="161"/>
      <c r="AW93" s="161"/>
      <c r="AX93" s="161"/>
      <c r="AY93" s="161"/>
      <c r="AZ93" s="161"/>
      <c r="BA93" s="161"/>
      <c r="BB93" s="161"/>
      <c r="BC93" s="161"/>
      <c r="BD93" s="161"/>
      <c r="BE93" s="161"/>
      <c r="BF93" s="161"/>
      <c r="BG93" s="161"/>
      <c r="BH93" s="161"/>
      <c r="BI93" s="161"/>
      <c r="BJ93" s="161"/>
      <c r="BK93" s="161"/>
      <c r="BL93" s="161"/>
      <c r="BM93" s="161"/>
      <c r="BN93" s="161"/>
      <c r="BO93" s="161"/>
      <c r="BP93" s="161"/>
      <c r="BQ93" s="161"/>
      <c r="BR93" s="161"/>
      <c r="BS93" s="161"/>
      <c r="BT93" s="161"/>
      <c r="BU93" s="161"/>
      <c r="BV93" s="161"/>
      <c r="BW93" s="161"/>
      <c r="BX93" s="161"/>
      <c r="BY93" s="161"/>
      <c r="BZ93" s="161"/>
      <c r="CA93" s="161"/>
      <c r="CB93" s="161"/>
      <c r="CC93" s="161"/>
      <c r="CD93" s="161"/>
      <c r="CE93" s="161"/>
      <c r="CF93" s="161"/>
      <c r="CG93" s="161"/>
      <c r="CH93" s="161"/>
      <c r="CI93" s="161"/>
      <c r="CJ93" s="161"/>
      <c r="CK93" s="161"/>
      <c r="CL93" s="161"/>
      <c r="CM93" s="161"/>
      <c r="CN93" s="161"/>
      <c r="CO93" s="161"/>
      <c r="CP93" s="161"/>
      <c r="CQ93" s="161"/>
      <c r="CR93" s="161"/>
      <c r="CS93" s="161"/>
      <c r="CT93" s="161"/>
      <c r="CU93" s="161"/>
      <c r="CV93" s="161"/>
      <c r="CW93" s="161"/>
      <c r="CX93" s="161"/>
      <c r="CY93" s="161"/>
      <c r="CZ93" s="161"/>
      <c r="DA93" s="161"/>
      <c r="DB93" s="161"/>
      <c r="DC93" s="161"/>
      <c r="DD93" s="161"/>
      <c r="DE93" s="161"/>
      <c r="DF93" s="161"/>
      <c r="DG93" s="161"/>
      <c r="DH93" s="161"/>
      <c r="DI93" s="161"/>
      <c r="DJ93" s="161"/>
      <c r="DK93" s="161"/>
      <c r="DL93" s="161"/>
      <c r="DM93" s="161"/>
      <c r="DN93" s="161"/>
      <c r="DO93" s="161"/>
      <c r="DP93" s="161"/>
      <c r="DQ93" s="161"/>
      <c r="DR93" s="161"/>
      <c r="DS93" s="161"/>
      <c r="DT93" s="161"/>
      <c r="DU93" s="161"/>
      <c r="DV93" s="161"/>
      <c r="DW93" s="161"/>
      <c r="DX93" s="161"/>
    </row>
    <row r="94" ht="15.75" customHeight="1">
      <c r="A94" s="379"/>
      <c r="B94" s="262"/>
      <c r="C94" s="264"/>
      <c r="D94" s="564"/>
      <c r="E94" s="565"/>
      <c r="F94" s="566"/>
      <c r="G94" s="565"/>
      <c r="H94" s="264"/>
      <c r="I94" t="s" s="567">
        <v>257</v>
      </c>
      <c r="J94" s="568"/>
      <c r="K94" s="569"/>
      <c r="L94" t="s" s="383">
        <v>258</v>
      </c>
      <c r="M94" s="568"/>
      <c r="N94" s="569"/>
      <c r="O94" t="s" s="383">
        <v>259</v>
      </c>
      <c r="P94" s="384"/>
      <c r="Q94" s="380"/>
      <c r="R94" s="219"/>
      <c r="S94" s="161"/>
      <c r="T94" s="161"/>
      <c r="U94" s="161"/>
      <c r="V94" s="161"/>
      <c r="W94" s="161"/>
      <c r="X94" s="161"/>
      <c r="Y94" s="161"/>
      <c r="Z94" s="161"/>
      <c r="AA94" s="161"/>
      <c r="AB94" s="161"/>
      <c r="AC94" s="161"/>
      <c r="AD94" s="161"/>
      <c r="AE94" s="161"/>
      <c r="AF94" s="161"/>
      <c r="AG94" s="161"/>
      <c r="AH94" s="161"/>
      <c r="AI94" s="161"/>
      <c r="AJ94" s="161"/>
      <c r="AK94" s="161"/>
      <c r="AL94" s="161"/>
      <c r="AM94" s="161"/>
      <c r="AN94" s="161"/>
      <c r="AO94" s="161"/>
      <c r="AP94" s="161"/>
      <c r="AQ94" s="161"/>
      <c r="AR94" s="161"/>
      <c r="AS94" s="161"/>
      <c r="AT94" s="161"/>
      <c r="AU94" s="161"/>
      <c r="AV94" s="161"/>
      <c r="AW94" s="161"/>
      <c r="AX94" s="161"/>
      <c r="AY94" s="161"/>
      <c r="AZ94" s="161"/>
      <c r="BA94" s="161"/>
      <c r="BB94" s="161"/>
      <c r="BC94" s="161"/>
      <c r="BD94" s="161"/>
      <c r="BE94" s="161"/>
      <c r="BF94" s="161"/>
      <c r="BG94" s="161"/>
      <c r="BH94" s="161"/>
      <c r="BI94" s="161"/>
      <c r="BJ94" s="161"/>
      <c r="BK94" s="161"/>
      <c r="BL94" s="161"/>
      <c r="BM94" s="161"/>
      <c r="BN94" s="161"/>
      <c r="BO94" s="161"/>
      <c r="BP94" s="161"/>
      <c r="BQ94" s="161"/>
      <c r="BR94" s="161"/>
      <c r="BS94" s="161"/>
      <c r="BT94" s="161"/>
      <c r="BU94" s="161"/>
      <c r="BV94" s="161"/>
      <c r="BW94" s="161"/>
      <c r="BX94" s="161"/>
      <c r="BY94" s="161"/>
      <c r="BZ94" s="161"/>
      <c r="CA94" s="161"/>
      <c r="CB94" s="161"/>
      <c r="CC94" s="161"/>
      <c r="CD94" s="161"/>
      <c r="CE94" s="161"/>
      <c r="CF94" s="161"/>
      <c r="CG94" s="161"/>
      <c r="CH94" s="161"/>
      <c r="CI94" s="161"/>
      <c r="CJ94" s="161"/>
      <c r="CK94" s="161"/>
      <c r="CL94" s="161"/>
      <c r="CM94" s="161"/>
      <c r="CN94" s="161"/>
      <c r="CO94" s="161"/>
      <c r="CP94" s="161"/>
      <c r="CQ94" s="161"/>
      <c r="CR94" s="161"/>
      <c r="CS94" s="161"/>
      <c r="CT94" s="161"/>
      <c r="CU94" s="161"/>
      <c r="CV94" s="161"/>
      <c r="CW94" s="161"/>
      <c r="CX94" s="161"/>
      <c r="CY94" s="161"/>
      <c r="CZ94" s="161"/>
      <c r="DA94" s="161"/>
      <c r="DB94" s="161"/>
      <c r="DC94" s="161"/>
      <c r="DD94" s="161"/>
      <c r="DE94" s="161"/>
      <c r="DF94" s="161"/>
      <c r="DG94" s="161"/>
      <c r="DH94" s="161"/>
      <c r="DI94" s="161"/>
      <c r="DJ94" s="161"/>
      <c r="DK94" s="161"/>
      <c r="DL94" s="161"/>
      <c r="DM94" s="161"/>
      <c r="DN94" s="161"/>
      <c r="DO94" s="161"/>
      <c r="DP94" s="161"/>
      <c r="DQ94" s="161"/>
      <c r="DR94" s="161"/>
      <c r="DS94" s="161"/>
      <c r="DT94" s="161"/>
      <c r="DU94" s="161"/>
      <c r="DV94" s="161"/>
      <c r="DW94" s="161"/>
      <c r="DX94" s="161"/>
    </row>
    <row r="95" ht="23.25" customHeight="1">
      <c r="A95" s="379"/>
      <c r="B95" t="s" s="570">
        <v>260</v>
      </c>
      <c r="C95" s="571"/>
      <c r="D95" s="572"/>
      <c r="E95" s="573"/>
      <c r="F95" s="574"/>
      <c r="G95" s="575"/>
      <c r="H95" s="576"/>
      <c r="I95" s="577">
        <f>D95*'11. Lists'!P47</f>
        <v>0</v>
      </c>
      <c r="J95" s="578"/>
      <c r="K95" s="579"/>
      <c r="L95" s="580">
        <f>IF(E95&gt;D95,"Error ▲",E95*'11. Lists'!P47)</f>
        <v>0</v>
      </c>
      <c r="M95" s="578"/>
      <c r="N95" s="579"/>
      <c r="O95" s="580">
        <f>G95*'11. Lists'!P47</f>
        <v>0</v>
      </c>
      <c r="P95" s="581"/>
      <c r="Q95" s="380"/>
      <c r="R95" s="219"/>
      <c r="S95" s="161"/>
      <c r="T95" s="161"/>
      <c r="U95" s="161"/>
      <c r="V95" s="161"/>
      <c r="W95" s="161"/>
      <c r="X95" s="161"/>
      <c r="Y95" s="161"/>
      <c r="Z95" s="161"/>
      <c r="AA95" s="161"/>
      <c r="AB95" s="161"/>
      <c r="AC95" s="161"/>
      <c r="AD95" s="161"/>
      <c r="AE95" s="161"/>
      <c r="AF95" s="161"/>
      <c r="AG95" s="161"/>
      <c r="AH95" s="161"/>
      <c r="AI95" s="161"/>
      <c r="AJ95" s="161"/>
      <c r="AK95" s="161"/>
      <c r="AL95" s="161"/>
      <c r="AM95" s="161"/>
      <c r="AN95" s="161"/>
      <c r="AO95" s="161"/>
      <c r="AP95" s="161"/>
      <c r="AQ95" s="161"/>
      <c r="AR95" s="161"/>
      <c r="AS95" s="161"/>
      <c r="AT95" s="161"/>
      <c r="AU95" s="161"/>
      <c r="AV95" s="161"/>
      <c r="AW95" s="161"/>
      <c r="AX95" s="161"/>
      <c r="AY95" s="161"/>
      <c r="AZ95" s="161"/>
      <c r="BA95" s="161"/>
      <c r="BB95" s="161"/>
      <c r="BC95" s="161"/>
      <c r="BD95" s="161"/>
      <c r="BE95" s="161"/>
      <c r="BF95" s="161"/>
      <c r="BG95" s="161"/>
      <c r="BH95" s="161"/>
      <c r="BI95" s="161"/>
      <c r="BJ95" s="161"/>
      <c r="BK95" s="161"/>
      <c r="BL95" s="161"/>
      <c r="BM95" s="161"/>
      <c r="BN95" s="161"/>
      <c r="BO95" s="161"/>
      <c r="BP95" s="161"/>
      <c r="BQ95" s="161"/>
      <c r="BR95" s="161"/>
      <c r="BS95" s="161"/>
      <c r="BT95" s="161"/>
      <c r="BU95" s="161"/>
      <c r="BV95" s="161"/>
      <c r="BW95" s="161"/>
      <c r="BX95" s="161"/>
      <c r="BY95" s="161"/>
      <c r="BZ95" s="161"/>
      <c r="CA95" s="161"/>
      <c r="CB95" s="161"/>
      <c r="CC95" s="161"/>
      <c r="CD95" s="161"/>
      <c r="CE95" s="161"/>
      <c r="CF95" s="161"/>
      <c r="CG95" s="161"/>
      <c r="CH95" s="161"/>
      <c r="CI95" s="161"/>
      <c r="CJ95" s="161"/>
      <c r="CK95" s="161"/>
      <c r="CL95" s="161"/>
      <c r="CM95" s="161"/>
      <c r="CN95" s="161"/>
      <c r="CO95" s="161"/>
      <c r="CP95" s="161"/>
      <c r="CQ95" s="161"/>
      <c r="CR95" s="161"/>
      <c r="CS95" s="161"/>
      <c r="CT95" s="161"/>
      <c r="CU95" s="161"/>
      <c r="CV95" s="161"/>
      <c r="CW95" s="161"/>
      <c r="CX95" s="161"/>
      <c r="CY95" s="161"/>
      <c r="CZ95" s="161"/>
      <c r="DA95" s="161"/>
      <c r="DB95" s="161"/>
      <c r="DC95" s="161"/>
      <c r="DD95" s="161"/>
      <c r="DE95" s="161"/>
      <c r="DF95" s="161"/>
      <c r="DG95" s="161"/>
      <c r="DH95" s="161"/>
      <c r="DI95" s="161"/>
      <c r="DJ95" s="161"/>
      <c r="DK95" s="161"/>
      <c r="DL95" s="161"/>
      <c r="DM95" s="161"/>
      <c r="DN95" s="161"/>
      <c r="DO95" s="161"/>
      <c r="DP95" s="161"/>
      <c r="DQ95" s="161"/>
      <c r="DR95" s="161"/>
      <c r="DS95" s="161"/>
      <c r="DT95" s="161"/>
      <c r="DU95" s="161"/>
      <c r="DV95" s="161"/>
      <c r="DW95" s="161"/>
      <c r="DX95" s="161"/>
    </row>
    <row r="96" ht="24.75" customHeight="1">
      <c r="A96" s="379"/>
      <c r="B96" t="s" s="582">
        <v>261</v>
      </c>
      <c r="C96" s="583"/>
      <c r="D96" s="584"/>
      <c r="E96" s="585"/>
      <c r="F96" s="586"/>
      <c r="G96" s="587"/>
      <c r="H96" s="588"/>
      <c r="I96" s="589">
        <f>D96*'11. Lists'!P48</f>
        <v>0</v>
      </c>
      <c r="J96" s="590"/>
      <c r="K96" s="591"/>
      <c r="L96" s="592">
        <f>IF(E96&gt;D96,"Error ▲",(E96*'11. Lists'!P48))</f>
        <v>0</v>
      </c>
      <c r="M96" s="590"/>
      <c r="N96" s="591"/>
      <c r="O96" s="592">
        <f>G96*'11. Lists'!P48</f>
        <v>0</v>
      </c>
      <c r="P96" s="593"/>
      <c r="Q96" s="380"/>
      <c r="R96" s="219"/>
      <c r="S96" s="161"/>
      <c r="T96" s="161"/>
      <c r="U96" s="161"/>
      <c r="V96" s="161"/>
      <c r="W96" s="161"/>
      <c r="X96" s="161"/>
      <c r="Y96" s="161"/>
      <c r="Z96" s="161"/>
      <c r="AA96" s="161"/>
      <c r="AB96" s="161"/>
      <c r="AC96" s="161"/>
      <c r="AD96" s="161"/>
      <c r="AE96" s="161"/>
      <c r="AF96" s="161"/>
      <c r="AG96" s="161"/>
      <c r="AH96" s="161"/>
      <c r="AI96" s="161"/>
      <c r="AJ96" s="161"/>
      <c r="AK96" s="161"/>
      <c r="AL96" s="161"/>
      <c r="AM96" s="161"/>
      <c r="AN96" s="161"/>
      <c r="AO96" s="161"/>
      <c r="AP96" s="161"/>
      <c r="AQ96" s="161"/>
      <c r="AR96" s="161"/>
      <c r="AS96" s="161"/>
      <c r="AT96" s="161"/>
      <c r="AU96" s="161"/>
      <c r="AV96" s="161"/>
      <c r="AW96" s="161"/>
      <c r="AX96" s="161"/>
      <c r="AY96" s="161"/>
      <c r="AZ96" s="161"/>
      <c r="BA96" s="161"/>
      <c r="BB96" s="161"/>
      <c r="BC96" s="161"/>
      <c r="BD96" s="161"/>
      <c r="BE96" s="161"/>
      <c r="BF96" s="161"/>
      <c r="BG96" s="161"/>
      <c r="BH96" s="161"/>
      <c r="BI96" s="161"/>
      <c r="BJ96" s="161"/>
      <c r="BK96" s="161"/>
      <c r="BL96" s="161"/>
      <c r="BM96" s="161"/>
      <c r="BN96" s="161"/>
      <c r="BO96" s="161"/>
      <c r="BP96" s="161"/>
      <c r="BQ96" s="161"/>
      <c r="BR96" s="161"/>
      <c r="BS96" s="161"/>
      <c r="BT96" s="161"/>
      <c r="BU96" s="161"/>
      <c r="BV96" s="161"/>
      <c r="BW96" s="161"/>
      <c r="BX96" s="161"/>
      <c r="BY96" s="161"/>
      <c r="BZ96" s="161"/>
      <c r="CA96" s="161"/>
      <c r="CB96" s="161"/>
      <c r="CC96" s="161"/>
      <c r="CD96" s="161"/>
      <c r="CE96" s="161"/>
      <c r="CF96" s="161"/>
      <c r="CG96" s="161"/>
      <c r="CH96" s="161"/>
      <c r="CI96" s="161"/>
      <c r="CJ96" s="161"/>
      <c r="CK96" s="161"/>
      <c r="CL96" s="161"/>
      <c r="CM96" s="161"/>
      <c r="CN96" s="161"/>
      <c r="CO96" s="161"/>
      <c r="CP96" s="161"/>
      <c r="CQ96" s="161"/>
      <c r="CR96" s="161"/>
      <c r="CS96" s="161"/>
      <c r="CT96" s="161"/>
      <c r="CU96" s="161"/>
      <c r="CV96" s="161"/>
      <c r="CW96" s="161"/>
      <c r="CX96" s="161"/>
      <c r="CY96" s="161"/>
      <c r="CZ96" s="161"/>
      <c r="DA96" s="161"/>
      <c r="DB96" s="161"/>
      <c r="DC96" s="161"/>
      <c r="DD96" s="161"/>
      <c r="DE96" s="161"/>
      <c r="DF96" s="161"/>
      <c r="DG96" s="161"/>
      <c r="DH96" s="161"/>
      <c r="DI96" s="161"/>
      <c r="DJ96" s="161"/>
      <c r="DK96" s="161"/>
      <c r="DL96" s="161"/>
      <c r="DM96" s="161"/>
      <c r="DN96" s="161"/>
      <c r="DO96" s="161"/>
      <c r="DP96" s="161"/>
      <c r="DQ96" s="161"/>
      <c r="DR96" s="161"/>
      <c r="DS96" s="161"/>
      <c r="DT96" s="161"/>
      <c r="DU96" s="161"/>
      <c r="DV96" s="161"/>
      <c r="DW96" s="161"/>
      <c r="DX96" s="161"/>
    </row>
    <row r="97" ht="24.75" customHeight="1">
      <c r="A97" s="379"/>
      <c r="B97" t="s" s="582">
        <v>262</v>
      </c>
      <c r="C97" s="583"/>
      <c r="D97" s="584"/>
      <c r="E97" s="585"/>
      <c r="F97" s="586"/>
      <c r="G97" s="587"/>
      <c r="H97" s="588"/>
      <c r="I97" s="589">
        <f>D97*'11. Lists'!P49</f>
        <v>0</v>
      </c>
      <c r="J97" s="590"/>
      <c r="K97" s="591"/>
      <c r="L97" s="592">
        <f>IF(E97&gt;D97,"Error ▲",(E97*'11. Lists'!P49))</f>
        <v>0</v>
      </c>
      <c r="M97" s="590"/>
      <c r="N97" s="591"/>
      <c r="O97" s="592">
        <f>G97*'11. Lists'!P49</f>
        <v>0</v>
      </c>
      <c r="P97" s="593"/>
      <c r="Q97" s="380"/>
      <c r="R97" s="219"/>
      <c r="S97" s="161"/>
      <c r="T97" s="161"/>
      <c r="U97" s="161"/>
      <c r="V97" s="161"/>
      <c r="W97" s="161"/>
      <c r="X97" s="161"/>
      <c r="Y97" s="161"/>
      <c r="Z97" s="161"/>
      <c r="AA97" s="161"/>
      <c r="AB97" s="161"/>
      <c r="AC97" s="161"/>
      <c r="AD97" s="161"/>
      <c r="AE97" s="161"/>
      <c r="AF97" s="161"/>
      <c r="AG97" s="161"/>
      <c r="AH97" s="161"/>
      <c r="AI97" s="161"/>
      <c r="AJ97" s="161"/>
      <c r="AK97" s="161"/>
      <c r="AL97" s="161"/>
      <c r="AM97" s="161"/>
      <c r="AN97" s="161"/>
      <c r="AO97" s="161"/>
      <c r="AP97" s="161"/>
      <c r="AQ97" s="161"/>
      <c r="AR97" s="161"/>
      <c r="AS97" s="161"/>
      <c r="AT97" s="161"/>
      <c r="AU97" s="161"/>
      <c r="AV97" s="161"/>
      <c r="AW97" s="161"/>
      <c r="AX97" s="161"/>
      <c r="AY97" s="161"/>
      <c r="AZ97" s="161"/>
      <c r="BA97" s="161"/>
      <c r="BB97" s="161"/>
      <c r="BC97" s="161"/>
      <c r="BD97" s="161"/>
      <c r="BE97" s="161"/>
      <c r="BF97" s="161"/>
      <c r="BG97" s="161"/>
      <c r="BH97" s="161"/>
      <c r="BI97" s="161"/>
      <c r="BJ97" s="161"/>
      <c r="BK97" s="161"/>
      <c r="BL97" s="161"/>
      <c r="BM97" s="161"/>
      <c r="BN97" s="161"/>
      <c r="BO97" s="161"/>
      <c r="BP97" s="161"/>
      <c r="BQ97" s="161"/>
      <c r="BR97" s="161"/>
      <c r="BS97" s="161"/>
      <c r="BT97" s="161"/>
      <c r="BU97" s="161"/>
      <c r="BV97" s="161"/>
      <c r="BW97" s="161"/>
      <c r="BX97" s="161"/>
      <c r="BY97" s="161"/>
      <c r="BZ97" s="161"/>
      <c r="CA97" s="161"/>
      <c r="CB97" s="161"/>
      <c r="CC97" s="161"/>
      <c r="CD97" s="161"/>
      <c r="CE97" s="161"/>
      <c r="CF97" s="161"/>
      <c r="CG97" s="161"/>
      <c r="CH97" s="161"/>
      <c r="CI97" s="161"/>
      <c r="CJ97" s="161"/>
      <c r="CK97" s="161"/>
      <c r="CL97" s="161"/>
      <c r="CM97" s="161"/>
      <c r="CN97" s="161"/>
      <c r="CO97" s="161"/>
      <c r="CP97" s="161"/>
      <c r="CQ97" s="161"/>
      <c r="CR97" s="161"/>
      <c r="CS97" s="161"/>
      <c r="CT97" s="161"/>
      <c r="CU97" s="161"/>
      <c r="CV97" s="161"/>
      <c r="CW97" s="161"/>
      <c r="CX97" s="161"/>
      <c r="CY97" s="161"/>
      <c r="CZ97" s="161"/>
      <c r="DA97" s="161"/>
      <c r="DB97" s="161"/>
      <c r="DC97" s="161"/>
      <c r="DD97" s="161"/>
      <c r="DE97" s="161"/>
      <c r="DF97" s="161"/>
      <c r="DG97" s="161"/>
      <c r="DH97" s="161"/>
      <c r="DI97" s="161"/>
      <c r="DJ97" s="161"/>
      <c r="DK97" s="161"/>
      <c r="DL97" s="161"/>
      <c r="DM97" s="161"/>
      <c r="DN97" s="161"/>
      <c r="DO97" s="161"/>
      <c r="DP97" s="161"/>
      <c r="DQ97" s="161"/>
      <c r="DR97" s="161"/>
      <c r="DS97" s="161"/>
      <c r="DT97" s="161"/>
      <c r="DU97" s="161"/>
      <c r="DV97" s="161"/>
      <c r="DW97" s="161"/>
      <c r="DX97" s="161"/>
    </row>
    <row r="98" ht="24.75" customHeight="1">
      <c r="A98" s="379"/>
      <c r="B98" t="s" s="582">
        <v>263</v>
      </c>
      <c r="C98" s="583"/>
      <c r="D98" s="584"/>
      <c r="E98" s="585"/>
      <c r="F98" s="586"/>
      <c r="G98" s="587"/>
      <c r="H98" s="588"/>
      <c r="I98" s="589">
        <f>D98*'11. Lists'!P50</f>
        <v>0</v>
      </c>
      <c r="J98" s="590"/>
      <c r="K98" s="591"/>
      <c r="L98" s="592">
        <f>IF(E98&gt;D98,"Error ▲",(E98*'11. Lists'!P50))</f>
        <v>0</v>
      </c>
      <c r="M98" s="590"/>
      <c r="N98" s="591"/>
      <c r="O98" s="592">
        <f>G98*'11. Lists'!P50</f>
        <v>0</v>
      </c>
      <c r="P98" s="593"/>
      <c r="Q98" s="380"/>
      <c r="R98" s="219"/>
      <c r="S98" s="161"/>
      <c r="T98" s="161"/>
      <c r="U98" s="161"/>
      <c r="V98" s="161"/>
      <c r="W98" s="161"/>
      <c r="X98" s="161"/>
      <c r="Y98" s="161"/>
      <c r="Z98" s="161"/>
      <c r="AA98" s="161"/>
      <c r="AB98" s="161"/>
      <c r="AC98" s="161"/>
      <c r="AD98" s="161"/>
      <c r="AE98" s="161"/>
      <c r="AF98" s="161"/>
      <c r="AG98" s="161"/>
      <c r="AH98" s="161"/>
      <c r="AI98" s="161"/>
      <c r="AJ98" s="161"/>
      <c r="AK98" s="161"/>
      <c r="AL98" s="161"/>
      <c r="AM98" s="161"/>
      <c r="AN98" s="161"/>
      <c r="AO98" s="161"/>
      <c r="AP98" s="161"/>
      <c r="AQ98" s="161"/>
      <c r="AR98" s="161"/>
      <c r="AS98" s="161"/>
      <c r="AT98" s="161"/>
      <c r="AU98" s="161"/>
      <c r="AV98" s="161"/>
      <c r="AW98" s="161"/>
      <c r="AX98" s="161"/>
      <c r="AY98" s="161"/>
      <c r="AZ98" s="161"/>
      <c r="BA98" s="161"/>
      <c r="BB98" s="161"/>
      <c r="BC98" s="161"/>
      <c r="BD98" s="161"/>
      <c r="BE98" s="161"/>
      <c r="BF98" s="161"/>
      <c r="BG98" s="161"/>
      <c r="BH98" s="161"/>
      <c r="BI98" s="161"/>
      <c r="BJ98" s="161"/>
      <c r="BK98" s="161"/>
      <c r="BL98" s="161"/>
      <c r="BM98" s="161"/>
      <c r="BN98" s="161"/>
      <c r="BO98" s="161"/>
      <c r="BP98" s="161"/>
      <c r="BQ98" s="161"/>
      <c r="BR98" s="161"/>
      <c r="BS98" s="161"/>
      <c r="BT98" s="161"/>
      <c r="BU98" s="161"/>
      <c r="BV98" s="161"/>
      <c r="BW98" s="161"/>
      <c r="BX98" s="161"/>
      <c r="BY98" s="161"/>
      <c r="BZ98" s="161"/>
      <c r="CA98" s="161"/>
      <c r="CB98" s="161"/>
      <c r="CC98" s="161"/>
      <c r="CD98" s="161"/>
      <c r="CE98" s="161"/>
      <c r="CF98" s="161"/>
      <c r="CG98" s="161"/>
      <c r="CH98" s="161"/>
      <c r="CI98" s="161"/>
      <c r="CJ98" s="161"/>
      <c r="CK98" s="161"/>
      <c r="CL98" s="161"/>
      <c r="CM98" s="161"/>
      <c r="CN98" s="161"/>
      <c r="CO98" s="161"/>
      <c r="CP98" s="161"/>
      <c r="CQ98" s="161"/>
      <c r="CR98" s="161"/>
      <c r="CS98" s="161"/>
      <c r="CT98" s="161"/>
      <c r="CU98" s="161"/>
      <c r="CV98" s="161"/>
      <c r="CW98" s="161"/>
      <c r="CX98" s="161"/>
      <c r="CY98" s="161"/>
      <c r="CZ98" s="161"/>
      <c r="DA98" s="161"/>
      <c r="DB98" s="161"/>
      <c r="DC98" s="161"/>
      <c r="DD98" s="161"/>
      <c r="DE98" s="161"/>
      <c r="DF98" s="161"/>
      <c r="DG98" s="161"/>
      <c r="DH98" s="161"/>
      <c r="DI98" s="161"/>
      <c r="DJ98" s="161"/>
      <c r="DK98" s="161"/>
      <c r="DL98" s="161"/>
      <c r="DM98" s="161"/>
      <c r="DN98" s="161"/>
      <c r="DO98" s="161"/>
      <c r="DP98" s="161"/>
      <c r="DQ98" s="161"/>
      <c r="DR98" s="161"/>
      <c r="DS98" s="161"/>
      <c r="DT98" s="161"/>
      <c r="DU98" s="161"/>
      <c r="DV98" s="161"/>
      <c r="DW98" s="161"/>
      <c r="DX98" s="161"/>
    </row>
    <row r="99" ht="24.75" customHeight="1">
      <c r="A99" s="379"/>
      <c r="B99" t="s" s="594">
        <v>264</v>
      </c>
      <c r="C99" s="595"/>
      <c r="D99" s="596">
        <f>SUM(D95:D98)</f>
        <v>0</v>
      </c>
      <c r="E99" s="597">
        <f>SUM(E95:F98)</f>
        <v>0</v>
      </c>
      <c r="F99" s="598"/>
      <c r="G99" s="597">
        <f>SUM(G95:H98)</f>
        <v>0</v>
      </c>
      <c r="H99" s="599"/>
      <c r="I99" s="596">
        <f>SUM(I95:K98)</f>
        <v>0</v>
      </c>
      <c r="J99" s="600"/>
      <c r="K99" s="600"/>
      <c r="L99" s="600">
        <f>SUM(L95:N98)</f>
        <v>0</v>
      </c>
      <c r="M99" s="600"/>
      <c r="N99" s="600"/>
      <c r="O99" s="597">
        <f>SUM(O95:P98)</f>
        <v>0</v>
      </c>
      <c r="P99" s="599"/>
      <c r="Q99" s="380"/>
      <c r="R99" s="219"/>
      <c r="S99" s="161"/>
      <c r="T99" s="161"/>
      <c r="U99" s="161"/>
      <c r="V99" s="161"/>
      <c r="W99" s="161"/>
      <c r="X99" s="161"/>
      <c r="Y99" s="161"/>
      <c r="Z99" s="161"/>
      <c r="AA99" s="161"/>
      <c r="AB99" s="161"/>
      <c r="AC99" s="161"/>
      <c r="AD99" s="161"/>
      <c r="AE99" s="161"/>
      <c r="AF99" s="161"/>
      <c r="AG99" s="161"/>
      <c r="AH99" s="161"/>
      <c r="AI99" s="161"/>
      <c r="AJ99" s="161"/>
      <c r="AK99" s="161"/>
      <c r="AL99" s="161"/>
      <c r="AM99" s="161"/>
      <c r="AN99" s="161"/>
      <c r="AO99" s="161"/>
      <c r="AP99" s="161"/>
      <c r="AQ99" s="161"/>
      <c r="AR99" s="161"/>
      <c r="AS99" s="161"/>
      <c r="AT99" s="161"/>
      <c r="AU99" s="161"/>
      <c r="AV99" s="161"/>
      <c r="AW99" s="161"/>
      <c r="AX99" s="161"/>
      <c r="AY99" s="161"/>
      <c r="AZ99" s="161"/>
      <c r="BA99" s="161"/>
      <c r="BB99" s="161"/>
      <c r="BC99" s="161"/>
      <c r="BD99" s="161"/>
      <c r="BE99" s="161"/>
      <c r="BF99" s="161"/>
      <c r="BG99" s="161"/>
      <c r="BH99" s="161"/>
      <c r="BI99" s="161"/>
      <c r="BJ99" s="161"/>
      <c r="BK99" s="161"/>
      <c r="BL99" s="161"/>
      <c r="BM99" s="161"/>
      <c r="BN99" s="161"/>
      <c r="BO99" s="161"/>
      <c r="BP99" s="161"/>
      <c r="BQ99" s="161"/>
      <c r="BR99" s="161"/>
      <c r="BS99" s="161"/>
      <c r="BT99" s="161"/>
      <c r="BU99" s="161"/>
      <c r="BV99" s="161"/>
      <c r="BW99" s="161"/>
      <c r="BX99" s="161"/>
      <c r="BY99" s="161"/>
      <c r="BZ99" s="161"/>
      <c r="CA99" s="161"/>
      <c r="CB99" s="161"/>
      <c r="CC99" s="161"/>
      <c r="CD99" s="161"/>
      <c r="CE99" s="161"/>
      <c r="CF99" s="161"/>
      <c r="CG99" s="161"/>
      <c r="CH99" s="161"/>
      <c r="CI99" s="161"/>
      <c r="CJ99" s="161"/>
      <c r="CK99" s="161"/>
      <c r="CL99" s="161"/>
      <c r="CM99" s="161"/>
      <c r="CN99" s="161"/>
      <c r="CO99" s="161"/>
      <c r="CP99" s="161"/>
      <c r="CQ99" s="161"/>
      <c r="CR99" s="161"/>
      <c r="CS99" s="161"/>
      <c r="CT99" s="161"/>
      <c r="CU99" s="161"/>
      <c r="CV99" s="161"/>
      <c r="CW99" s="161"/>
      <c r="CX99" s="161"/>
      <c r="CY99" s="161"/>
      <c r="CZ99" s="161"/>
      <c r="DA99" s="161"/>
      <c r="DB99" s="161"/>
      <c r="DC99" s="161"/>
      <c r="DD99" s="161"/>
      <c r="DE99" s="161"/>
      <c r="DF99" s="161"/>
      <c r="DG99" s="161"/>
      <c r="DH99" s="161"/>
      <c r="DI99" s="161"/>
      <c r="DJ99" s="161"/>
      <c r="DK99" s="161"/>
      <c r="DL99" s="161"/>
      <c r="DM99" s="161"/>
      <c r="DN99" s="161"/>
      <c r="DO99" s="161"/>
      <c r="DP99" s="161"/>
      <c r="DQ99" s="161"/>
      <c r="DR99" s="161"/>
      <c r="DS99" s="161"/>
      <c r="DT99" s="161"/>
      <c r="DU99" s="161"/>
      <c r="DV99" s="161"/>
      <c r="DW99" s="161"/>
      <c r="DX99" s="161"/>
    </row>
    <row r="100" ht="19.35" customHeight="1">
      <c r="A100" s="347"/>
      <c r="B100" s="348"/>
      <c r="C100" s="348"/>
      <c r="D100" s="348"/>
      <c r="E100" t="s" s="601">
        <f>_xlfn.IFERROR(IF(OR(E95&gt;D95,E96&gt;D96,E97&gt;D97,E98&gt;D98),"Error - trees retained and lost is greater than number of pre-development trees ▲",""),"Error  ▲")</f>
      </c>
      <c r="F100" s="602"/>
      <c r="G100" s="602"/>
      <c r="H100" s="348"/>
      <c r="I100" s="348"/>
      <c r="J100" s="348"/>
      <c r="K100" s="348"/>
      <c r="L100" s="348"/>
      <c r="M100" s="348"/>
      <c r="N100" s="348"/>
      <c r="O100" s="348"/>
      <c r="P100" s="348"/>
      <c r="Q100" s="161"/>
      <c r="R100" s="219"/>
      <c r="S100" s="161"/>
      <c r="T100" s="161"/>
      <c r="U100" s="161"/>
      <c r="V100" s="161"/>
      <c r="W100" s="161"/>
      <c r="X100" s="161"/>
      <c r="Y100" s="161"/>
      <c r="Z100" s="161"/>
      <c r="AA100" s="161"/>
      <c r="AB100" s="161"/>
      <c r="AC100" s="161"/>
      <c r="AD100" s="161"/>
      <c r="AE100" s="161"/>
      <c r="AF100" s="161"/>
      <c r="AG100" s="161"/>
      <c r="AH100" s="161"/>
      <c r="AI100" s="161"/>
      <c r="AJ100" s="161"/>
      <c r="AK100" s="161"/>
      <c r="AL100" s="161"/>
      <c r="AM100" s="161"/>
      <c r="AN100" s="161"/>
      <c r="AO100" s="161"/>
      <c r="AP100" s="161"/>
      <c r="AQ100" s="161"/>
      <c r="AR100" s="161"/>
      <c r="AS100" s="161"/>
      <c r="AT100" s="161"/>
      <c r="AU100" s="161"/>
      <c r="AV100" s="161"/>
      <c r="AW100" s="161"/>
      <c r="AX100" s="161"/>
      <c r="AY100" s="161"/>
      <c r="AZ100" s="161"/>
      <c r="BA100" s="161"/>
      <c r="BB100" s="161"/>
      <c r="BC100" s="161"/>
      <c r="BD100" s="161"/>
      <c r="BE100" s="161"/>
      <c r="BF100" s="161"/>
      <c r="BG100" s="161"/>
      <c r="BH100" s="161"/>
      <c r="BI100" s="161"/>
      <c r="BJ100" s="161"/>
      <c r="BK100" s="161"/>
      <c r="BL100" s="161"/>
      <c r="BM100" s="161"/>
      <c r="BN100" s="161"/>
      <c r="BO100" s="161"/>
      <c r="BP100" s="161"/>
      <c r="BQ100" s="161"/>
      <c r="BR100" s="161"/>
      <c r="BS100" s="161"/>
      <c r="BT100" s="161"/>
      <c r="BU100" s="161"/>
      <c r="BV100" s="161"/>
      <c r="BW100" s="161"/>
      <c r="BX100" s="161"/>
      <c r="BY100" s="161"/>
      <c r="BZ100" s="161"/>
      <c r="CA100" s="161"/>
      <c r="CB100" s="161"/>
      <c r="CC100" s="161"/>
      <c r="CD100" s="161"/>
      <c r="CE100" s="161"/>
      <c r="CF100" s="161"/>
      <c r="CG100" s="161"/>
      <c r="CH100" s="161"/>
      <c r="CI100" s="161"/>
      <c r="CJ100" s="161"/>
      <c r="CK100" s="161"/>
      <c r="CL100" s="161"/>
      <c r="CM100" s="161"/>
      <c r="CN100" s="161"/>
      <c r="CO100" s="161"/>
      <c r="CP100" s="161"/>
      <c r="CQ100" s="161"/>
      <c r="CR100" s="161"/>
      <c r="CS100" s="161"/>
      <c r="CT100" s="161"/>
      <c r="CU100" s="161"/>
      <c r="CV100" s="161"/>
      <c r="CW100" s="161"/>
      <c r="CX100" s="161"/>
      <c r="CY100" s="161"/>
      <c r="CZ100" s="161"/>
      <c r="DA100" s="161"/>
      <c r="DB100" s="161"/>
      <c r="DC100" s="161"/>
      <c r="DD100" s="161"/>
      <c r="DE100" s="161"/>
      <c r="DF100" s="161"/>
      <c r="DG100" s="161"/>
      <c r="DH100" s="161"/>
      <c r="DI100" s="161"/>
      <c r="DJ100" s="161"/>
      <c r="DK100" s="161"/>
      <c r="DL100" s="161"/>
      <c r="DM100" s="161"/>
      <c r="DN100" s="161"/>
      <c r="DO100" s="161"/>
      <c r="DP100" s="161"/>
      <c r="DQ100" s="161"/>
      <c r="DR100" s="161"/>
      <c r="DS100" s="161"/>
      <c r="DT100" s="161"/>
      <c r="DU100" s="161"/>
      <c r="DV100" s="161"/>
      <c r="DW100" s="161"/>
      <c r="DX100" s="161"/>
    </row>
    <row r="101" ht="13.55" customHeight="1">
      <c r="A101" s="347"/>
      <c r="B101" s="161"/>
      <c r="C101" s="161"/>
      <c r="D101" s="161"/>
      <c r="E101" s="161"/>
      <c r="F101" s="161"/>
      <c r="G101" s="161"/>
      <c r="H101" s="161"/>
      <c r="I101" s="161"/>
      <c r="J101" s="161"/>
      <c r="K101" s="161"/>
      <c r="L101" s="161"/>
      <c r="M101" s="161"/>
      <c r="N101" s="161"/>
      <c r="O101" s="161"/>
      <c r="P101" s="161"/>
      <c r="Q101" s="161"/>
      <c r="R101" s="219"/>
      <c r="S101" s="161"/>
      <c r="T101" s="161"/>
      <c r="U101" s="161"/>
      <c r="V101" s="161"/>
      <c r="W101" s="161"/>
      <c r="X101" s="161"/>
      <c r="Y101" s="161"/>
      <c r="Z101" s="161"/>
      <c r="AA101" s="161"/>
      <c r="AB101" s="161"/>
      <c r="AC101" s="161"/>
      <c r="AD101" s="161"/>
      <c r="AE101" s="161"/>
      <c r="AF101" s="161"/>
      <c r="AG101" s="161"/>
      <c r="AH101" s="161"/>
      <c r="AI101" s="161"/>
      <c r="AJ101" s="161"/>
      <c r="AK101" s="161"/>
      <c r="AL101" s="161"/>
      <c r="AM101" s="161"/>
      <c r="AN101" s="161"/>
      <c r="AO101" s="161"/>
      <c r="AP101" s="161"/>
      <c r="AQ101" s="161"/>
      <c r="AR101" s="161"/>
      <c r="AS101" s="161"/>
      <c r="AT101" s="161"/>
      <c r="AU101" s="161"/>
      <c r="AV101" s="161"/>
      <c r="AW101" s="161"/>
      <c r="AX101" s="161"/>
      <c r="AY101" s="161"/>
      <c r="AZ101" s="161"/>
      <c r="BA101" s="161"/>
      <c r="BB101" s="161"/>
      <c r="BC101" s="161"/>
      <c r="BD101" s="161"/>
      <c r="BE101" s="161"/>
      <c r="BF101" s="161"/>
      <c r="BG101" s="161"/>
      <c r="BH101" s="161"/>
      <c r="BI101" s="161"/>
      <c r="BJ101" s="161"/>
      <c r="BK101" s="161"/>
      <c r="BL101" s="161"/>
      <c r="BM101" s="161"/>
      <c r="BN101" s="161"/>
      <c r="BO101" s="161"/>
      <c r="BP101" s="161"/>
      <c r="BQ101" s="161"/>
      <c r="BR101" s="161"/>
      <c r="BS101" s="161"/>
      <c r="BT101" s="161"/>
      <c r="BU101" s="161"/>
      <c r="BV101" s="161"/>
      <c r="BW101" s="161"/>
      <c r="BX101" s="161"/>
      <c r="BY101" s="161"/>
      <c r="BZ101" s="161"/>
      <c r="CA101" s="161"/>
      <c r="CB101" s="161"/>
      <c r="CC101" s="161"/>
      <c r="CD101" s="161"/>
      <c r="CE101" s="161"/>
      <c r="CF101" s="161"/>
      <c r="CG101" s="161"/>
      <c r="CH101" s="161"/>
      <c r="CI101" s="161"/>
      <c r="CJ101" s="161"/>
      <c r="CK101" s="161"/>
      <c r="CL101" s="161"/>
      <c r="CM101" s="161"/>
      <c r="CN101" s="161"/>
      <c r="CO101" s="161"/>
      <c r="CP101" s="161"/>
      <c r="CQ101" s="161"/>
      <c r="CR101" s="161"/>
      <c r="CS101" s="161"/>
      <c r="CT101" s="161"/>
      <c r="CU101" s="161"/>
      <c r="CV101" s="161"/>
      <c r="CW101" s="161"/>
      <c r="CX101" s="161"/>
      <c r="CY101" s="161"/>
      <c r="CZ101" s="161"/>
      <c r="DA101" s="161"/>
      <c r="DB101" s="161"/>
      <c r="DC101" s="161"/>
      <c r="DD101" s="161"/>
      <c r="DE101" s="161"/>
      <c r="DF101" s="161"/>
      <c r="DG101" s="161"/>
      <c r="DH101" s="161"/>
      <c r="DI101" s="161"/>
      <c r="DJ101" s="161"/>
      <c r="DK101" s="161"/>
      <c r="DL101" s="161"/>
      <c r="DM101" s="161"/>
      <c r="DN101" s="161"/>
      <c r="DO101" s="161"/>
      <c r="DP101" s="161"/>
      <c r="DQ101" s="161"/>
      <c r="DR101" s="161"/>
      <c r="DS101" s="161"/>
      <c r="DT101" s="161"/>
      <c r="DU101" s="161"/>
      <c r="DV101" s="161"/>
      <c r="DW101" s="161"/>
      <c r="DX101" s="161"/>
    </row>
    <row r="102" ht="13.55" customHeight="1">
      <c r="A102" t="s" s="603">
        <v>265</v>
      </c>
      <c r="B102" s="219"/>
      <c r="C102" s="219"/>
      <c r="D102" s="219"/>
      <c r="E102" s="219"/>
      <c r="F102" s="219"/>
      <c r="G102" s="219"/>
      <c r="H102" s="219"/>
      <c r="I102" s="219"/>
      <c r="J102" s="219"/>
      <c r="K102" s="219"/>
      <c r="L102" s="219"/>
      <c r="M102" s="219"/>
      <c r="N102" s="219"/>
      <c r="O102" s="219"/>
      <c r="P102" s="219"/>
      <c r="Q102" s="219"/>
      <c r="R102" s="219"/>
      <c r="S102" s="161"/>
      <c r="T102" s="161"/>
      <c r="U102" s="161"/>
      <c r="V102" s="161"/>
      <c r="W102" s="161"/>
      <c r="X102" s="161"/>
      <c r="Y102" s="161"/>
      <c r="Z102" s="161"/>
      <c r="AA102" s="161"/>
      <c r="AB102" s="161"/>
      <c r="AC102" s="161"/>
      <c r="AD102" s="161"/>
      <c r="AE102" s="161"/>
      <c r="AF102" s="161"/>
      <c r="AG102" s="161"/>
      <c r="AH102" s="161"/>
      <c r="AI102" s="161"/>
      <c r="AJ102" s="161"/>
      <c r="AK102" s="161"/>
      <c r="AL102" s="161"/>
      <c r="AM102" s="161"/>
      <c r="AN102" s="161"/>
      <c r="AO102" s="161"/>
      <c r="AP102" s="161"/>
      <c r="AQ102" s="161"/>
      <c r="AR102" s="161"/>
      <c r="AS102" s="161"/>
      <c r="AT102" s="161"/>
      <c r="AU102" s="161"/>
      <c r="AV102" s="161"/>
      <c r="AW102" s="161"/>
      <c r="AX102" s="161"/>
      <c r="AY102" s="161"/>
      <c r="AZ102" s="161"/>
      <c r="BA102" s="161"/>
      <c r="BB102" s="161"/>
      <c r="BC102" s="161"/>
      <c r="BD102" s="161"/>
      <c r="BE102" s="161"/>
      <c r="BF102" s="161"/>
      <c r="BG102" s="161"/>
      <c r="BH102" s="161"/>
      <c r="BI102" s="161"/>
      <c r="BJ102" s="161"/>
      <c r="BK102" s="161"/>
      <c r="BL102" s="161"/>
      <c r="BM102" s="161"/>
      <c r="BN102" s="161"/>
      <c r="BO102" s="161"/>
      <c r="BP102" s="161"/>
      <c r="BQ102" s="161"/>
      <c r="BR102" s="161"/>
      <c r="BS102" s="161"/>
      <c r="BT102" s="161"/>
      <c r="BU102" s="161"/>
      <c r="BV102" s="161"/>
      <c r="BW102" s="161"/>
      <c r="BX102" s="161"/>
      <c r="BY102" s="161"/>
      <c r="BZ102" s="161"/>
      <c r="CA102" s="161"/>
      <c r="CB102" s="161"/>
      <c r="CC102" s="161"/>
      <c r="CD102" s="161"/>
      <c r="CE102" s="161"/>
      <c r="CF102" s="161"/>
      <c r="CG102" s="161"/>
      <c r="CH102" s="161"/>
      <c r="CI102" s="161"/>
      <c r="CJ102" s="161"/>
      <c r="CK102" s="161"/>
      <c r="CL102" s="161"/>
      <c r="CM102" s="161"/>
      <c r="CN102" s="161"/>
      <c r="CO102" s="161"/>
      <c r="CP102" s="161"/>
      <c r="CQ102" s="161"/>
      <c r="CR102" s="161"/>
      <c r="CS102" s="161"/>
      <c r="CT102" s="161"/>
      <c r="CU102" s="161"/>
      <c r="CV102" s="161"/>
      <c r="CW102" s="161"/>
      <c r="CX102" s="161"/>
      <c r="CY102" s="161"/>
      <c r="CZ102" s="161"/>
      <c r="DA102" s="161"/>
      <c r="DB102" s="161"/>
      <c r="DC102" s="161"/>
      <c r="DD102" s="161"/>
      <c r="DE102" s="161"/>
      <c r="DF102" s="161"/>
      <c r="DG102" s="161"/>
      <c r="DH102" s="161"/>
      <c r="DI102" s="161"/>
      <c r="DJ102" s="161"/>
      <c r="DK102" s="161"/>
      <c r="DL102" s="161"/>
      <c r="DM102" s="161"/>
      <c r="DN102" s="161"/>
      <c r="DO102" s="161"/>
      <c r="DP102" s="161"/>
      <c r="DQ102" s="161"/>
      <c r="DR102" s="161"/>
      <c r="DS102" s="161"/>
      <c r="DT102" s="161"/>
      <c r="DU102" s="161"/>
      <c r="DV102" s="161"/>
      <c r="DW102" s="161"/>
      <c r="DX102" s="161"/>
    </row>
    <row r="103" ht="13.55" customHeight="1">
      <c r="A103" s="604"/>
      <c r="B103" s="219"/>
      <c r="C103" s="219"/>
      <c r="D103" s="219"/>
      <c r="E103" s="219"/>
      <c r="F103" s="219"/>
      <c r="G103" s="219"/>
      <c r="H103" s="219"/>
      <c r="I103" s="219"/>
      <c r="J103" s="219"/>
      <c r="K103" s="219"/>
      <c r="L103" s="219"/>
      <c r="M103" s="219"/>
      <c r="N103" s="219"/>
      <c r="O103" s="219"/>
      <c r="P103" s="219"/>
      <c r="Q103" s="219"/>
      <c r="R103" s="219"/>
      <c r="S103" s="161"/>
      <c r="T103" s="161"/>
      <c r="U103" s="161"/>
      <c r="V103" s="161"/>
      <c r="W103" s="161"/>
      <c r="X103" s="161"/>
      <c r="Y103" s="161"/>
      <c r="Z103" s="161"/>
      <c r="AA103" s="161"/>
      <c r="AB103" s="161"/>
      <c r="AC103" s="161"/>
      <c r="AD103" s="161"/>
      <c r="AE103" s="161"/>
      <c r="AF103" s="161"/>
      <c r="AG103" s="161"/>
      <c r="AH103" s="161"/>
      <c r="AI103" s="161"/>
      <c r="AJ103" s="161"/>
      <c r="AK103" s="161"/>
      <c r="AL103" s="161"/>
      <c r="AM103" s="161"/>
      <c r="AN103" s="161"/>
      <c r="AO103" s="161"/>
      <c r="AP103" s="161"/>
      <c r="AQ103" s="161"/>
      <c r="AR103" s="161"/>
      <c r="AS103" s="161"/>
      <c r="AT103" s="161"/>
      <c r="AU103" s="161"/>
      <c r="AV103" s="161"/>
      <c r="AW103" s="161"/>
      <c r="AX103" s="161"/>
      <c r="AY103" s="161"/>
      <c r="AZ103" s="161"/>
      <c r="BA103" s="161"/>
      <c r="BB103" s="161"/>
      <c r="BC103" s="161"/>
      <c r="BD103" s="161"/>
      <c r="BE103" s="161"/>
      <c r="BF103" s="161"/>
      <c r="BG103" s="161"/>
      <c r="BH103" s="161"/>
      <c r="BI103" s="161"/>
      <c r="BJ103" s="161"/>
      <c r="BK103" s="161"/>
      <c r="BL103" s="161"/>
      <c r="BM103" s="161"/>
      <c r="BN103" s="161"/>
      <c r="BO103" s="161"/>
      <c r="BP103" s="161"/>
      <c r="BQ103" s="161"/>
      <c r="BR103" s="161"/>
      <c r="BS103" s="161"/>
      <c r="BT103" s="161"/>
      <c r="BU103" s="161"/>
      <c r="BV103" s="161"/>
      <c r="BW103" s="161"/>
      <c r="BX103" s="161"/>
      <c r="BY103" s="161"/>
      <c r="BZ103" s="161"/>
      <c r="CA103" s="161"/>
      <c r="CB103" s="161"/>
      <c r="CC103" s="161"/>
      <c r="CD103" s="161"/>
      <c r="CE103" s="161"/>
      <c r="CF103" s="161"/>
      <c r="CG103" s="161"/>
      <c r="CH103" s="161"/>
      <c r="CI103" s="161"/>
      <c r="CJ103" s="161"/>
      <c r="CK103" s="161"/>
      <c r="CL103" s="161"/>
      <c r="CM103" s="161"/>
      <c r="CN103" s="161"/>
      <c r="CO103" s="161"/>
      <c r="CP103" s="161"/>
      <c r="CQ103" s="161"/>
      <c r="CR103" s="161"/>
      <c r="CS103" s="161"/>
      <c r="CT103" s="161"/>
      <c r="CU103" s="161"/>
      <c r="CV103" s="161"/>
      <c r="CW103" s="161"/>
      <c r="CX103" s="161"/>
      <c r="CY103" s="161"/>
      <c r="CZ103" s="161"/>
      <c r="DA103" s="161"/>
      <c r="DB103" s="161"/>
      <c r="DC103" s="161"/>
      <c r="DD103" s="161"/>
      <c r="DE103" s="161"/>
      <c r="DF103" s="161"/>
      <c r="DG103" s="161"/>
      <c r="DH103" s="161"/>
      <c r="DI103" s="161"/>
      <c r="DJ103" s="161"/>
      <c r="DK103" s="161"/>
      <c r="DL103" s="161"/>
      <c r="DM103" s="161"/>
      <c r="DN103" s="161"/>
      <c r="DO103" s="161"/>
      <c r="DP103" s="161"/>
      <c r="DQ103" s="161"/>
      <c r="DR103" s="161"/>
      <c r="DS103" s="161"/>
      <c r="DT103" s="161"/>
      <c r="DU103" s="161"/>
      <c r="DV103" s="161"/>
      <c r="DW103" s="161"/>
      <c r="DX103" s="161"/>
    </row>
    <row r="104" ht="13.55" customHeight="1">
      <c r="A104" s="604"/>
      <c r="B104" s="219"/>
      <c r="C104" s="219"/>
      <c r="D104" s="219"/>
      <c r="E104" s="219"/>
      <c r="F104" s="219"/>
      <c r="G104" s="219"/>
      <c r="H104" s="219"/>
      <c r="I104" s="219"/>
      <c r="J104" s="219"/>
      <c r="K104" s="219"/>
      <c r="L104" s="219"/>
      <c r="M104" s="219"/>
      <c r="N104" s="219"/>
      <c r="O104" s="219"/>
      <c r="P104" s="219"/>
      <c r="Q104" s="219"/>
      <c r="R104" s="219"/>
      <c r="S104" s="161"/>
      <c r="T104" s="161"/>
      <c r="U104" s="161"/>
      <c r="V104" s="161"/>
      <c r="W104" s="161"/>
      <c r="X104" s="161"/>
      <c r="Y104" s="161"/>
      <c r="Z104" s="161"/>
      <c r="AA104" s="161"/>
      <c r="AB104" s="161"/>
      <c r="AC104" s="161"/>
      <c r="AD104" s="161"/>
      <c r="AE104" s="161"/>
      <c r="AF104" s="161"/>
      <c r="AG104" s="161"/>
      <c r="AH104" s="161"/>
      <c r="AI104" s="161"/>
      <c r="AJ104" s="161"/>
      <c r="AK104" s="161"/>
      <c r="AL104" s="161"/>
      <c r="AM104" s="161"/>
      <c r="AN104" s="161"/>
      <c r="AO104" s="161"/>
      <c r="AP104" s="161"/>
      <c r="AQ104" s="161"/>
      <c r="AR104" s="161"/>
      <c r="AS104" s="161"/>
      <c r="AT104" s="161"/>
      <c r="AU104" s="161"/>
      <c r="AV104" s="161"/>
      <c r="AW104" s="161"/>
      <c r="AX104" s="161"/>
      <c r="AY104" s="161"/>
      <c r="AZ104" s="161"/>
      <c r="BA104" s="161"/>
      <c r="BB104" s="161"/>
      <c r="BC104" s="161"/>
      <c r="BD104" s="161"/>
      <c r="BE104" s="161"/>
      <c r="BF104" s="161"/>
      <c r="BG104" s="161"/>
      <c r="BH104" s="161"/>
      <c r="BI104" s="161"/>
      <c r="BJ104" s="161"/>
      <c r="BK104" s="161"/>
      <c r="BL104" s="161"/>
      <c r="BM104" s="161"/>
      <c r="BN104" s="161"/>
      <c r="BO104" s="161"/>
      <c r="BP104" s="161"/>
      <c r="BQ104" s="161"/>
      <c r="BR104" s="161"/>
      <c r="BS104" s="161"/>
      <c r="BT104" s="161"/>
      <c r="BU104" s="161"/>
      <c r="BV104" s="161"/>
      <c r="BW104" s="161"/>
      <c r="BX104" s="161"/>
      <c r="BY104" s="161"/>
      <c r="BZ104" s="161"/>
      <c r="CA104" s="161"/>
      <c r="CB104" s="161"/>
      <c r="CC104" s="161"/>
      <c r="CD104" s="161"/>
      <c r="CE104" s="161"/>
      <c r="CF104" s="161"/>
      <c r="CG104" s="161"/>
      <c r="CH104" s="161"/>
      <c r="CI104" s="161"/>
      <c r="CJ104" s="161"/>
      <c r="CK104" s="161"/>
      <c r="CL104" s="161"/>
      <c r="CM104" s="161"/>
      <c r="CN104" s="161"/>
      <c r="CO104" s="161"/>
      <c r="CP104" s="161"/>
      <c r="CQ104" s="161"/>
      <c r="CR104" s="161"/>
      <c r="CS104" s="161"/>
      <c r="CT104" s="161"/>
      <c r="CU104" s="161"/>
      <c r="CV104" s="161"/>
      <c r="CW104" s="161"/>
      <c r="CX104" s="161"/>
      <c r="CY104" s="161"/>
      <c r="CZ104" s="161"/>
      <c r="DA104" s="161"/>
      <c r="DB104" s="161"/>
      <c r="DC104" s="161"/>
      <c r="DD104" s="161"/>
      <c r="DE104" s="161"/>
      <c r="DF104" s="161"/>
      <c r="DG104" s="161"/>
      <c r="DH104" s="161"/>
      <c r="DI104" s="161"/>
      <c r="DJ104" s="161"/>
      <c r="DK104" s="161"/>
      <c r="DL104" s="161"/>
      <c r="DM104" s="161"/>
      <c r="DN104" s="161"/>
      <c r="DO104" s="161"/>
      <c r="DP104" s="161"/>
      <c r="DQ104" s="161"/>
      <c r="DR104" s="161"/>
      <c r="DS104" s="161"/>
      <c r="DT104" s="161"/>
      <c r="DU104" s="161"/>
      <c r="DV104" s="161"/>
      <c r="DW104" s="161"/>
      <c r="DX104" s="161"/>
    </row>
    <row r="105" ht="13.55" customHeight="1">
      <c r="A105" s="347"/>
      <c r="B105" s="161"/>
      <c r="C105" s="161"/>
      <c r="D105" s="161"/>
      <c r="E105" s="161"/>
      <c r="F105" s="161"/>
      <c r="G105" s="161"/>
      <c r="H105" s="161"/>
      <c r="I105" s="161"/>
      <c r="J105" s="161"/>
      <c r="K105" s="161"/>
      <c r="L105" s="161"/>
      <c r="M105" s="161"/>
      <c r="N105" s="161"/>
      <c r="O105" s="161"/>
      <c r="P105" s="161"/>
      <c r="Q105" s="161"/>
      <c r="R105" s="219"/>
      <c r="S105" s="161"/>
      <c r="T105" s="161"/>
      <c r="U105" s="161"/>
      <c r="V105" s="161"/>
      <c r="W105" s="161"/>
      <c r="X105" s="161"/>
      <c r="Y105" s="161"/>
      <c r="Z105" s="161"/>
      <c r="AA105" s="161"/>
      <c r="AB105" s="161"/>
      <c r="AC105" s="161"/>
      <c r="AD105" s="161"/>
      <c r="AE105" s="161"/>
      <c r="AF105" s="161"/>
      <c r="AG105" s="161"/>
      <c r="AH105" s="161"/>
      <c r="AI105" s="161"/>
      <c r="AJ105" s="161"/>
      <c r="AK105" s="161"/>
      <c r="AL105" s="161"/>
      <c r="AM105" s="161"/>
      <c r="AN105" s="161"/>
      <c r="AO105" s="161"/>
      <c r="AP105" s="161"/>
      <c r="AQ105" s="161"/>
      <c r="AR105" s="161"/>
      <c r="AS105" s="161"/>
      <c r="AT105" s="161"/>
      <c r="AU105" s="161"/>
      <c r="AV105" s="161"/>
      <c r="AW105" s="161"/>
      <c r="AX105" s="161"/>
      <c r="AY105" s="161"/>
      <c r="AZ105" s="161"/>
      <c r="BA105" s="161"/>
      <c r="BB105" s="161"/>
      <c r="BC105" s="161"/>
      <c r="BD105" s="161"/>
      <c r="BE105" s="161"/>
      <c r="BF105" s="161"/>
      <c r="BG105" s="161"/>
      <c r="BH105" s="161"/>
      <c r="BI105" s="161"/>
      <c r="BJ105" s="161"/>
      <c r="BK105" s="161"/>
      <c r="BL105" s="161"/>
      <c r="BM105" s="161"/>
      <c r="BN105" s="161"/>
      <c r="BO105" s="161"/>
      <c r="BP105" s="161"/>
      <c r="BQ105" s="161"/>
      <c r="BR105" s="161"/>
      <c r="BS105" s="161"/>
      <c r="BT105" s="161"/>
      <c r="BU105" s="161"/>
      <c r="BV105" s="161"/>
      <c r="BW105" s="161"/>
      <c r="BX105" s="161"/>
      <c r="BY105" s="161"/>
      <c r="BZ105" s="161"/>
      <c r="CA105" s="161"/>
      <c r="CB105" s="161"/>
      <c r="CC105" s="161"/>
      <c r="CD105" s="161"/>
      <c r="CE105" s="161"/>
      <c r="CF105" s="161"/>
      <c r="CG105" s="161"/>
      <c r="CH105" s="161"/>
      <c r="CI105" s="161"/>
      <c r="CJ105" s="161"/>
      <c r="CK105" s="161"/>
      <c r="CL105" s="161"/>
      <c r="CM105" s="161"/>
      <c r="CN105" s="161"/>
      <c r="CO105" s="161"/>
      <c r="CP105" s="161"/>
      <c r="CQ105" s="161"/>
      <c r="CR105" s="161"/>
      <c r="CS105" s="161"/>
      <c r="CT105" s="161"/>
      <c r="CU105" s="161"/>
      <c r="CV105" s="161"/>
      <c r="CW105" s="161"/>
      <c r="CX105" s="161"/>
      <c r="CY105" s="161"/>
      <c r="CZ105" s="161"/>
      <c r="DA105" s="161"/>
      <c r="DB105" s="161"/>
      <c r="DC105" s="161"/>
      <c r="DD105" s="161"/>
      <c r="DE105" s="161"/>
      <c r="DF105" s="161"/>
      <c r="DG105" s="161"/>
      <c r="DH105" s="161"/>
      <c r="DI105" s="161"/>
      <c r="DJ105" s="161"/>
      <c r="DK105" s="161"/>
      <c r="DL105" s="161"/>
      <c r="DM105" s="161"/>
      <c r="DN105" s="161"/>
      <c r="DO105" s="161"/>
      <c r="DP105" s="161"/>
      <c r="DQ105" s="161"/>
      <c r="DR105" s="161"/>
      <c r="DS105" s="161"/>
      <c r="DT105" s="161"/>
      <c r="DU105" s="161"/>
      <c r="DV105" s="161"/>
      <c r="DW105" s="161"/>
      <c r="DX105" s="161"/>
    </row>
    <row r="106" ht="21" customHeight="1">
      <c r="A106" s="347"/>
      <c r="B106" t="s" s="374">
        <v>266</v>
      </c>
      <c r="C106" s="161"/>
      <c r="D106" s="460"/>
      <c r="E106" s="460"/>
      <c r="F106" s="460"/>
      <c r="G106" s="460"/>
      <c r="H106" s="161"/>
      <c r="I106" s="161"/>
      <c r="J106" s="161"/>
      <c r="K106" s="161"/>
      <c r="L106" s="161"/>
      <c r="M106" s="161"/>
      <c r="N106" s="161"/>
      <c r="O106" s="161"/>
      <c r="P106" s="161"/>
      <c r="Q106" s="161"/>
      <c r="R106" s="219"/>
      <c r="S106" s="161"/>
      <c r="T106" s="161"/>
      <c r="U106" s="161"/>
      <c r="V106" s="161"/>
      <c r="W106" s="161"/>
      <c r="X106" s="161"/>
      <c r="Y106" s="161"/>
      <c r="Z106" s="161"/>
      <c r="AA106" s="161"/>
      <c r="AB106" s="161"/>
      <c r="AC106" s="161"/>
      <c r="AD106" s="161"/>
      <c r="AE106" s="161"/>
      <c r="AF106" s="161"/>
      <c r="AG106" s="161"/>
      <c r="AH106" s="161"/>
      <c r="AI106" s="161"/>
      <c r="AJ106" s="161"/>
      <c r="AK106" s="161"/>
      <c r="AL106" s="161"/>
      <c r="AM106" s="161"/>
      <c r="AN106" s="161"/>
      <c r="AO106" s="161"/>
      <c r="AP106" s="161"/>
      <c r="AQ106" s="161"/>
      <c r="AR106" s="161"/>
      <c r="AS106" s="161"/>
      <c r="AT106" s="161"/>
      <c r="AU106" s="161"/>
      <c r="AV106" s="161"/>
      <c r="AW106" s="161"/>
      <c r="AX106" s="161"/>
      <c r="AY106" s="161"/>
      <c r="AZ106" s="161"/>
      <c r="BA106" s="161"/>
      <c r="BB106" s="161"/>
      <c r="BC106" s="161"/>
      <c r="BD106" s="161"/>
      <c r="BE106" s="161"/>
      <c r="BF106" s="161"/>
      <c r="BG106" s="161"/>
      <c r="BH106" s="161"/>
      <c r="BI106" s="161"/>
      <c r="BJ106" s="161"/>
      <c r="BK106" s="161"/>
      <c r="BL106" s="161"/>
      <c r="BM106" s="161"/>
      <c r="BN106" s="161"/>
      <c r="BO106" s="161"/>
      <c r="BP106" s="161"/>
      <c r="BQ106" s="161"/>
      <c r="BR106" s="161"/>
      <c r="BS106" s="161"/>
      <c r="BT106" s="161"/>
      <c r="BU106" s="161"/>
      <c r="BV106" s="161"/>
      <c r="BW106" s="161"/>
      <c r="BX106" s="161"/>
      <c r="BY106" s="161"/>
      <c r="BZ106" s="161"/>
      <c r="CA106" s="161"/>
      <c r="CB106" s="161"/>
      <c r="CC106" s="161"/>
      <c r="CD106" s="161"/>
      <c r="CE106" s="161"/>
      <c r="CF106" s="161"/>
      <c r="CG106" s="161"/>
      <c r="CH106" s="161"/>
      <c r="CI106" s="161"/>
      <c r="CJ106" s="161"/>
      <c r="CK106" s="161"/>
      <c r="CL106" s="161"/>
      <c r="CM106" s="161"/>
      <c r="CN106" s="161"/>
      <c r="CO106" s="161"/>
      <c r="CP106" s="161"/>
      <c r="CQ106" s="161"/>
      <c r="CR106" s="161"/>
      <c r="CS106" s="161"/>
      <c r="CT106" s="161"/>
      <c r="CU106" s="161"/>
      <c r="CV106" s="161"/>
      <c r="CW106" s="161"/>
      <c r="CX106" s="161"/>
      <c r="CY106" s="161"/>
      <c r="CZ106" s="161"/>
      <c r="DA106" s="161"/>
      <c r="DB106" s="161"/>
      <c r="DC106" s="161"/>
      <c r="DD106" s="161"/>
      <c r="DE106" s="161"/>
      <c r="DF106" s="161"/>
      <c r="DG106" s="161"/>
      <c r="DH106" s="161"/>
      <c r="DI106" s="161"/>
      <c r="DJ106" s="161"/>
      <c r="DK106" s="161"/>
      <c r="DL106" s="161"/>
      <c r="DM106" s="161"/>
      <c r="DN106" s="161"/>
      <c r="DO106" s="161"/>
      <c r="DP106" s="161"/>
      <c r="DQ106" s="161"/>
      <c r="DR106" s="161"/>
      <c r="DS106" s="161"/>
      <c r="DT106" s="161"/>
      <c r="DU106" s="161"/>
      <c r="DV106" s="161"/>
      <c r="DW106" s="161"/>
      <c r="DX106" s="161"/>
    </row>
    <row r="107" ht="15" customHeight="1">
      <c r="A107" s="347"/>
      <c r="B107" s="378"/>
      <c r="C107" s="378"/>
      <c r="D107" s="378"/>
      <c r="E107" s="378"/>
      <c r="F107" s="378"/>
      <c r="G107" s="378"/>
      <c r="H107" s="378"/>
      <c r="I107" s="378"/>
      <c r="J107" s="161"/>
      <c r="K107" s="161"/>
      <c r="L107" s="161"/>
      <c r="M107" s="161"/>
      <c r="N107" s="161"/>
      <c r="O107" s="161"/>
      <c r="P107" s="161"/>
      <c r="Q107" s="161"/>
      <c r="R107" s="219"/>
      <c r="S107" s="161"/>
      <c r="T107" s="161"/>
      <c r="U107" s="161"/>
      <c r="V107" s="161"/>
      <c r="W107" s="161"/>
      <c r="X107" s="161"/>
      <c r="Y107" s="161"/>
      <c r="Z107" s="161"/>
      <c r="AA107" s="161"/>
      <c r="AB107" s="161"/>
      <c r="AC107" s="161"/>
      <c r="AD107" s="161"/>
      <c r="AE107" s="161"/>
      <c r="AF107" s="161"/>
      <c r="AG107" s="161"/>
      <c r="AH107" s="161"/>
      <c r="AI107" s="161"/>
      <c r="AJ107" s="161"/>
      <c r="AK107" s="161"/>
      <c r="AL107" s="161"/>
      <c r="AM107" s="161"/>
      <c r="AN107" s="161"/>
      <c r="AO107" s="161"/>
      <c r="AP107" s="161"/>
      <c r="AQ107" s="161"/>
      <c r="AR107" s="161"/>
      <c r="AS107" s="161"/>
      <c r="AT107" s="161"/>
      <c r="AU107" s="161"/>
      <c r="AV107" s="161"/>
      <c r="AW107" s="161"/>
      <c r="AX107" s="161"/>
      <c r="AY107" s="161"/>
      <c r="AZ107" s="161"/>
      <c r="BA107" s="161"/>
      <c r="BB107" s="161"/>
      <c r="BC107" s="161"/>
      <c r="BD107" s="161"/>
      <c r="BE107" s="161"/>
      <c r="BF107" s="161"/>
      <c r="BG107" s="161"/>
      <c r="BH107" s="161"/>
      <c r="BI107" s="161"/>
      <c r="BJ107" s="161"/>
      <c r="BK107" s="161"/>
      <c r="BL107" s="161"/>
      <c r="BM107" s="161"/>
      <c r="BN107" s="161"/>
      <c r="BO107" s="161"/>
      <c r="BP107" s="161"/>
      <c r="BQ107" s="161"/>
      <c r="BR107" s="161"/>
      <c r="BS107" s="161"/>
      <c r="BT107" s="161"/>
      <c r="BU107" s="161"/>
      <c r="BV107" s="161"/>
      <c r="BW107" s="161"/>
      <c r="BX107" s="161"/>
      <c r="BY107" s="161"/>
      <c r="BZ107" s="161"/>
      <c r="CA107" s="161"/>
      <c r="CB107" s="161"/>
      <c r="CC107" s="161"/>
      <c r="CD107" s="161"/>
      <c r="CE107" s="161"/>
      <c r="CF107" s="161"/>
      <c r="CG107" s="161"/>
      <c r="CH107" s="161"/>
      <c r="CI107" s="161"/>
      <c r="CJ107" s="161"/>
      <c r="CK107" s="161"/>
      <c r="CL107" s="161"/>
      <c r="CM107" s="161"/>
      <c r="CN107" s="161"/>
      <c r="CO107" s="161"/>
      <c r="CP107" s="161"/>
      <c r="CQ107" s="161"/>
      <c r="CR107" s="161"/>
      <c r="CS107" s="161"/>
      <c r="CT107" s="161"/>
      <c r="CU107" s="161"/>
      <c r="CV107" s="161"/>
      <c r="CW107" s="161"/>
      <c r="CX107" s="161"/>
      <c r="CY107" s="161"/>
      <c r="CZ107" s="161"/>
      <c r="DA107" s="161"/>
      <c r="DB107" s="161"/>
      <c r="DC107" s="161"/>
      <c r="DD107" s="161"/>
      <c r="DE107" s="161"/>
      <c r="DF107" s="161"/>
      <c r="DG107" s="161"/>
      <c r="DH107" s="161"/>
      <c r="DI107" s="161"/>
      <c r="DJ107" s="161"/>
      <c r="DK107" s="161"/>
      <c r="DL107" s="161"/>
      <c r="DM107" s="161"/>
      <c r="DN107" s="161"/>
      <c r="DO107" s="161"/>
      <c r="DP107" s="161"/>
      <c r="DQ107" s="161"/>
      <c r="DR107" s="161"/>
      <c r="DS107" s="161"/>
      <c r="DT107" s="161"/>
      <c r="DU107" s="161"/>
      <c r="DV107" s="161"/>
      <c r="DW107" s="161"/>
      <c r="DX107" s="161"/>
    </row>
    <row r="108" ht="36.75" customHeight="1">
      <c r="A108" s="379"/>
      <c r="B108" t="s" s="605">
        <v>267</v>
      </c>
      <c r="C108" s="606"/>
      <c r="D108" s="607"/>
      <c r="E108" t="s" s="608">
        <f>IF(SUM(J114:J135)&gt;0,"Error - Trading Rules Not Satisfied - Insufficient Units Created Within Habitat Groups ▲","Trading Rules Satisfied ✓")</f>
        <v>268</v>
      </c>
      <c r="F108" s="609"/>
      <c r="G108" s="609"/>
      <c r="H108" s="609"/>
      <c r="I108" s="610"/>
      <c r="J108" s="364">
        <f>_xlfn.IFERROR(FIND("Error",E108),0)</f>
        <v>0</v>
      </c>
      <c r="K108" s="161"/>
      <c r="L108" s="161"/>
      <c r="M108" s="161"/>
      <c r="N108" s="161"/>
      <c r="O108" s="161"/>
      <c r="P108" s="161"/>
      <c r="Q108" s="161"/>
      <c r="R108" s="219"/>
      <c r="S108" s="161"/>
      <c r="T108" s="161"/>
      <c r="U108" s="161"/>
      <c r="V108" s="161"/>
      <c r="W108" s="161"/>
      <c r="X108" s="161"/>
      <c r="Y108" s="161"/>
      <c r="Z108" s="161"/>
      <c r="AA108" s="161"/>
      <c r="AB108" s="161"/>
      <c r="AC108" s="161"/>
      <c r="AD108" s="161"/>
      <c r="AE108" s="161"/>
      <c r="AF108" s="161"/>
      <c r="AG108" s="161"/>
      <c r="AH108" s="161"/>
      <c r="AI108" s="161"/>
      <c r="AJ108" s="161"/>
      <c r="AK108" s="161"/>
      <c r="AL108" s="161"/>
      <c r="AM108" s="161"/>
      <c r="AN108" s="161"/>
      <c r="AO108" s="161"/>
      <c r="AP108" s="161"/>
      <c r="AQ108" s="161"/>
      <c r="AR108" s="161"/>
      <c r="AS108" s="161"/>
      <c r="AT108" s="161"/>
      <c r="AU108" s="161"/>
      <c r="AV108" s="161"/>
      <c r="AW108" s="161"/>
      <c r="AX108" s="161"/>
      <c r="AY108" s="161"/>
      <c r="AZ108" s="161"/>
      <c r="BA108" s="161"/>
      <c r="BB108" s="161"/>
      <c r="BC108" s="161"/>
      <c r="BD108" s="161"/>
      <c r="BE108" s="161"/>
      <c r="BF108" s="161"/>
      <c r="BG108" s="161"/>
      <c r="BH108" s="161"/>
      <c r="BI108" s="161"/>
      <c r="BJ108" s="161"/>
      <c r="BK108" s="161"/>
      <c r="BL108" s="161"/>
      <c r="BM108" s="161"/>
      <c r="BN108" s="161"/>
      <c r="BO108" s="161"/>
      <c r="BP108" s="161"/>
      <c r="BQ108" s="161"/>
      <c r="BR108" s="161"/>
      <c r="BS108" s="161"/>
      <c r="BT108" s="161"/>
      <c r="BU108" s="161"/>
      <c r="BV108" s="161"/>
      <c r="BW108" s="161"/>
      <c r="BX108" s="161"/>
      <c r="BY108" s="161"/>
      <c r="BZ108" s="161"/>
      <c r="CA108" s="161"/>
      <c r="CB108" s="161"/>
      <c r="CC108" s="161"/>
      <c r="CD108" s="161"/>
      <c r="CE108" s="161"/>
      <c r="CF108" s="161"/>
      <c r="CG108" s="161"/>
      <c r="CH108" s="161"/>
      <c r="CI108" s="161"/>
      <c r="CJ108" s="161"/>
      <c r="CK108" s="161"/>
      <c r="CL108" s="161"/>
      <c r="CM108" s="161"/>
      <c r="CN108" s="161"/>
      <c r="CO108" s="161"/>
      <c r="CP108" s="161"/>
      <c r="CQ108" s="161"/>
      <c r="CR108" s="161"/>
      <c r="CS108" s="161"/>
      <c r="CT108" s="161"/>
      <c r="CU108" s="161"/>
      <c r="CV108" s="161"/>
      <c r="CW108" s="161"/>
      <c r="CX108" s="161"/>
      <c r="CY108" s="161"/>
      <c r="CZ108" s="161"/>
      <c r="DA108" s="161"/>
      <c r="DB108" s="161"/>
      <c r="DC108" s="161"/>
      <c r="DD108" s="161"/>
      <c r="DE108" s="161"/>
      <c r="DF108" s="161"/>
      <c r="DG108" s="161"/>
      <c r="DH108" s="161"/>
      <c r="DI108" s="161"/>
      <c r="DJ108" s="161"/>
      <c r="DK108" s="161"/>
      <c r="DL108" s="161"/>
      <c r="DM108" s="161"/>
      <c r="DN108" s="161"/>
      <c r="DO108" s="161"/>
      <c r="DP108" s="161"/>
      <c r="DQ108" s="161"/>
      <c r="DR108" s="161"/>
      <c r="DS108" s="161"/>
      <c r="DT108" s="161"/>
      <c r="DU108" s="161"/>
      <c r="DV108" s="161"/>
      <c r="DW108" s="161"/>
      <c r="DX108" s="161"/>
    </row>
    <row r="109" ht="36" customHeight="1">
      <c r="A109" s="379"/>
      <c r="B109" t="s" s="611">
        <v>269</v>
      </c>
      <c r="C109" s="612"/>
      <c r="D109" s="613"/>
      <c r="E109" t="s" s="614">
        <f>IF(SUM(J138:J140)&gt;0,"Error - Trading Rules Not Satisfied - Insufficient Biodiversity Units Created ▲","Trading Rules Satisfied ✓")</f>
        <v>268</v>
      </c>
      <c r="F109" s="615"/>
      <c r="G109" s="615"/>
      <c r="H109" s="615"/>
      <c r="I109" s="616"/>
      <c r="J109" s="364">
        <f>_xlfn.IFERROR(FIND("Error",E109),0)</f>
        <v>0</v>
      </c>
      <c r="K109" s="161"/>
      <c r="L109" s="161"/>
      <c r="M109" s="161"/>
      <c r="N109" s="161"/>
      <c r="O109" s="161"/>
      <c r="P109" s="161"/>
      <c r="Q109" s="161"/>
      <c r="R109" s="219"/>
      <c r="S109" s="161"/>
      <c r="T109" s="161"/>
      <c r="U109" s="161"/>
      <c r="V109" s="161"/>
      <c r="W109" s="161"/>
      <c r="X109" s="161"/>
      <c r="Y109" s="161"/>
      <c r="Z109" s="161"/>
      <c r="AA109" s="161"/>
      <c r="AB109" s="161"/>
      <c r="AC109" s="161"/>
      <c r="AD109" s="161"/>
      <c r="AE109" s="161"/>
      <c r="AF109" s="161"/>
      <c r="AG109" s="161"/>
      <c r="AH109" s="161"/>
      <c r="AI109" s="161"/>
      <c r="AJ109" s="161"/>
      <c r="AK109" s="161"/>
      <c r="AL109" s="161"/>
      <c r="AM109" s="161"/>
      <c r="AN109" s="161"/>
      <c r="AO109" s="161"/>
      <c r="AP109" s="161"/>
      <c r="AQ109" s="161"/>
      <c r="AR109" s="161"/>
      <c r="AS109" s="161"/>
      <c r="AT109" s="161"/>
      <c r="AU109" s="161"/>
      <c r="AV109" s="161"/>
      <c r="AW109" s="161"/>
      <c r="AX109" s="161"/>
      <c r="AY109" s="161"/>
      <c r="AZ109" s="161"/>
      <c r="BA109" s="161"/>
      <c r="BB109" s="161"/>
      <c r="BC109" s="161"/>
      <c r="BD109" s="161"/>
      <c r="BE109" s="161"/>
      <c r="BF109" s="161"/>
      <c r="BG109" s="161"/>
      <c r="BH109" s="161"/>
      <c r="BI109" s="161"/>
      <c r="BJ109" s="161"/>
      <c r="BK109" s="161"/>
      <c r="BL109" s="161"/>
      <c r="BM109" s="161"/>
      <c r="BN109" s="161"/>
      <c r="BO109" s="161"/>
      <c r="BP109" s="161"/>
      <c r="BQ109" s="161"/>
      <c r="BR109" s="161"/>
      <c r="BS109" s="161"/>
      <c r="BT109" s="161"/>
      <c r="BU109" s="161"/>
      <c r="BV109" s="161"/>
      <c r="BW109" s="161"/>
      <c r="BX109" s="161"/>
      <c r="BY109" s="161"/>
      <c r="BZ109" s="161"/>
      <c r="CA109" s="161"/>
      <c r="CB109" s="161"/>
      <c r="CC109" s="161"/>
      <c r="CD109" s="161"/>
      <c r="CE109" s="161"/>
      <c r="CF109" s="161"/>
      <c r="CG109" s="161"/>
      <c r="CH109" s="161"/>
      <c r="CI109" s="161"/>
      <c r="CJ109" s="161"/>
      <c r="CK109" s="161"/>
      <c r="CL109" s="161"/>
      <c r="CM109" s="161"/>
      <c r="CN109" s="161"/>
      <c r="CO109" s="161"/>
      <c r="CP109" s="161"/>
      <c r="CQ109" s="161"/>
      <c r="CR109" s="161"/>
      <c r="CS109" s="161"/>
      <c r="CT109" s="161"/>
      <c r="CU109" s="161"/>
      <c r="CV109" s="161"/>
      <c r="CW109" s="161"/>
      <c r="CX109" s="161"/>
      <c r="CY109" s="161"/>
      <c r="CZ109" s="161"/>
      <c r="DA109" s="161"/>
      <c r="DB109" s="161"/>
      <c r="DC109" s="161"/>
      <c r="DD109" s="161"/>
      <c r="DE109" s="161"/>
      <c r="DF109" s="161"/>
      <c r="DG109" s="161"/>
      <c r="DH109" s="161"/>
      <c r="DI109" s="161"/>
      <c r="DJ109" s="161"/>
      <c r="DK109" s="161"/>
      <c r="DL109" s="161"/>
      <c r="DM109" s="161"/>
      <c r="DN109" s="161"/>
      <c r="DO109" s="161"/>
      <c r="DP109" s="161"/>
      <c r="DQ109" s="161"/>
      <c r="DR109" s="161"/>
      <c r="DS109" s="161"/>
      <c r="DT109" s="161"/>
      <c r="DU109" s="161"/>
      <c r="DV109" s="161"/>
      <c r="DW109" s="161"/>
      <c r="DX109" s="161"/>
    </row>
    <row r="110" ht="14.05" customHeight="1">
      <c r="A110" s="347"/>
      <c r="B110" s="348"/>
      <c r="C110" s="348"/>
      <c r="D110" s="348"/>
      <c r="E110" s="348"/>
      <c r="F110" s="348"/>
      <c r="G110" s="348"/>
      <c r="H110" s="348"/>
      <c r="I110" s="348"/>
      <c r="J110" s="161"/>
      <c r="K110" s="161"/>
      <c r="L110" s="161"/>
      <c r="M110" s="161"/>
      <c r="N110" s="161"/>
      <c r="O110" s="161"/>
      <c r="P110" s="161"/>
      <c r="Q110" s="161"/>
      <c r="R110" s="219"/>
      <c r="S110" s="161"/>
      <c r="T110" s="161"/>
      <c r="U110" s="161"/>
      <c r="V110" s="161"/>
      <c r="W110" s="161"/>
      <c r="X110" s="161"/>
      <c r="Y110" s="161"/>
      <c r="Z110" s="161"/>
      <c r="AA110" s="161"/>
      <c r="AB110" s="161"/>
      <c r="AC110" s="161"/>
      <c r="AD110" s="161"/>
      <c r="AE110" s="161"/>
      <c r="AF110" s="161"/>
      <c r="AG110" s="161"/>
      <c r="AH110" s="161"/>
      <c r="AI110" s="161"/>
      <c r="AJ110" s="161"/>
      <c r="AK110" s="161"/>
      <c r="AL110" s="161"/>
      <c r="AM110" s="161"/>
      <c r="AN110" s="161"/>
      <c r="AO110" s="161"/>
      <c r="AP110" s="161"/>
      <c r="AQ110" s="161"/>
      <c r="AR110" s="161"/>
      <c r="AS110" s="161"/>
      <c r="AT110" s="161"/>
      <c r="AU110" s="161"/>
      <c r="AV110" s="161"/>
      <c r="AW110" s="161"/>
      <c r="AX110" s="161"/>
      <c r="AY110" s="161"/>
      <c r="AZ110" s="161"/>
      <c r="BA110" s="161"/>
      <c r="BB110" s="161"/>
      <c r="BC110" s="161"/>
      <c r="BD110" s="161"/>
      <c r="BE110" s="161"/>
      <c r="BF110" s="161"/>
      <c r="BG110" s="161"/>
      <c r="BH110" s="161"/>
      <c r="BI110" s="161"/>
      <c r="BJ110" s="161"/>
      <c r="BK110" s="161"/>
      <c r="BL110" s="161"/>
      <c r="BM110" s="161"/>
      <c r="BN110" s="161"/>
      <c r="BO110" s="161"/>
      <c r="BP110" s="161"/>
      <c r="BQ110" s="161"/>
      <c r="BR110" s="161"/>
      <c r="BS110" s="161"/>
      <c r="BT110" s="161"/>
      <c r="BU110" s="161"/>
      <c r="BV110" s="161"/>
      <c r="BW110" s="161"/>
      <c r="BX110" s="161"/>
      <c r="BY110" s="161"/>
      <c r="BZ110" s="161"/>
      <c r="CA110" s="161"/>
      <c r="CB110" s="161"/>
      <c r="CC110" s="161"/>
      <c r="CD110" s="161"/>
      <c r="CE110" s="161"/>
      <c r="CF110" s="161"/>
      <c r="CG110" s="161"/>
      <c r="CH110" s="161"/>
      <c r="CI110" s="161"/>
      <c r="CJ110" s="161"/>
      <c r="CK110" s="161"/>
      <c r="CL110" s="161"/>
      <c r="CM110" s="161"/>
      <c r="CN110" s="161"/>
      <c r="CO110" s="161"/>
      <c r="CP110" s="161"/>
      <c r="CQ110" s="161"/>
      <c r="CR110" s="161"/>
      <c r="CS110" s="161"/>
      <c r="CT110" s="161"/>
      <c r="CU110" s="161"/>
      <c r="CV110" s="161"/>
      <c r="CW110" s="161"/>
      <c r="CX110" s="161"/>
      <c r="CY110" s="161"/>
      <c r="CZ110" s="161"/>
      <c r="DA110" s="161"/>
      <c r="DB110" s="161"/>
      <c r="DC110" s="161"/>
      <c r="DD110" s="161"/>
      <c r="DE110" s="161"/>
      <c r="DF110" s="161"/>
      <c r="DG110" s="161"/>
      <c r="DH110" s="161"/>
      <c r="DI110" s="161"/>
      <c r="DJ110" s="161"/>
      <c r="DK110" s="161"/>
      <c r="DL110" s="161"/>
      <c r="DM110" s="161"/>
      <c r="DN110" s="161"/>
      <c r="DO110" s="161"/>
      <c r="DP110" s="161"/>
      <c r="DQ110" s="161"/>
      <c r="DR110" s="161"/>
      <c r="DS110" s="161"/>
      <c r="DT110" s="161"/>
      <c r="DU110" s="161"/>
      <c r="DV110" s="161"/>
      <c r="DW110" s="161"/>
      <c r="DX110" s="161"/>
    </row>
    <row r="111" ht="21" customHeight="1">
      <c r="A111" s="347"/>
      <c r="B111" t="s" s="374">
        <v>270</v>
      </c>
      <c r="C111" s="161"/>
      <c r="D111" s="161"/>
      <c r="E111" s="161"/>
      <c r="F111" s="161"/>
      <c r="G111" s="161"/>
      <c r="H111" s="161"/>
      <c r="I111" s="161"/>
      <c r="J111" s="161"/>
      <c r="K111" s="161"/>
      <c r="L111" s="161"/>
      <c r="M111" s="161"/>
      <c r="N111" s="161"/>
      <c r="O111" s="161"/>
      <c r="P111" s="161"/>
      <c r="Q111" s="161"/>
      <c r="R111" s="219"/>
      <c r="S111" s="161"/>
      <c r="T111" s="161"/>
      <c r="U111" s="161"/>
      <c r="V111" s="161"/>
      <c r="W111" s="161"/>
      <c r="X111" s="161"/>
      <c r="Y111" s="161"/>
      <c r="Z111" s="161"/>
      <c r="AA111" s="161"/>
      <c r="AB111" s="161"/>
      <c r="AC111" s="161"/>
      <c r="AD111" s="161"/>
      <c r="AE111" s="161"/>
      <c r="AF111" s="161"/>
      <c r="AG111" s="161"/>
      <c r="AH111" s="161"/>
      <c r="AI111" s="161"/>
      <c r="AJ111" s="161"/>
      <c r="AK111" s="161"/>
      <c r="AL111" s="161"/>
      <c r="AM111" s="161"/>
      <c r="AN111" s="161"/>
      <c r="AO111" s="161"/>
      <c r="AP111" s="161"/>
      <c r="AQ111" s="161"/>
      <c r="AR111" s="161"/>
      <c r="AS111" s="161"/>
      <c r="AT111" s="161"/>
      <c r="AU111" s="161"/>
      <c r="AV111" s="161"/>
      <c r="AW111" s="161"/>
      <c r="AX111" s="161"/>
      <c r="AY111" s="161"/>
      <c r="AZ111" s="161"/>
      <c r="BA111" s="161"/>
      <c r="BB111" s="161"/>
      <c r="BC111" s="161"/>
      <c r="BD111" s="161"/>
      <c r="BE111" s="161"/>
      <c r="BF111" s="161"/>
      <c r="BG111" s="161"/>
      <c r="BH111" s="161"/>
      <c r="BI111" s="161"/>
      <c r="BJ111" s="161"/>
      <c r="BK111" s="161"/>
      <c r="BL111" s="161"/>
      <c r="BM111" s="161"/>
      <c r="BN111" s="161"/>
      <c r="BO111" s="161"/>
      <c r="BP111" s="161"/>
      <c r="BQ111" s="161"/>
      <c r="BR111" s="161"/>
      <c r="BS111" s="161"/>
      <c r="BT111" s="161"/>
      <c r="BU111" s="161"/>
      <c r="BV111" s="161"/>
      <c r="BW111" s="161"/>
      <c r="BX111" s="161"/>
      <c r="BY111" s="161"/>
      <c r="BZ111" s="161"/>
      <c r="CA111" s="161"/>
      <c r="CB111" s="161"/>
      <c r="CC111" s="161"/>
      <c r="CD111" s="161"/>
      <c r="CE111" s="161"/>
      <c r="CF111" s="161"/>
      <c r="CG111" s="161"/>
      <c r="CH111" s="161"/>
      <c r="CI111" s="161"/>
      <c r="CJ111" s="161"/>
      <c r="CK111" s="161"/>
      <c r="CL111" s="161"/>
      <c r="CM111" s="161"/>
      <c r="CN111" s="161"/>
      <c r="CO111" s="161"/>
      <c r="CP111" s="161"/>
      <c r="CQ111" s="161"/>
      <c r="CR111" s="161"/>
      <c r="CS111" s="161"/>
      <c r="CT111" s="161"/>
      <c r="CU111" s="161"/>
      <c r="CV111" s="161"/>
      <c r="CW111" s="161"/>
      <c r="CX111" s="161"/>
      <c r="CY111" s="161"/>
      <c r="CZ111" s="161"/>
      <c r="DA111" s="161"/>
      <c r="DB111" s="161"/>
      <c r="DC111" s="161"/>
      <c r="DD111" s="161"/>
      <c r="DE111" s="161"/>
      <c r="DF111" s="161"/>
      <c r="DG111" s="161"/>
      <c r="DH111" s="161"/>
      <c r="DI111" s="161"/>
      <c r="DJ111" s="161"/>
      <c r="DK111" s="161"/>
      <c r="DL111" s="161"/>
      <c r="DM111" s="161"/>
      <c r="DN111" s="161"/>
      <c r="DO111" s="161"/>
      <c r="DP111" s="161"/>
      <c r="DQ111" s="161"/>
      <c r="DR111" s="161"/>
      <c r="DS111" s="161"/>
      <c r="DT111" s="161"/>
      <c r="DU111" s="161"/>
      <c r="DV111" s="161"/>
      <c r="DW111" s="161"/>
      <c r="DX111" s="161"/>
    </row>
    <row r="112" ht="15" customHeight="1">
      <c r="A112" s="347"/>
      <c r="B112" s="378"/>
      <c r="C112" s="378"/>
      <c r="D112" s="378"/>
      <c r="E112" s="378"/>
      <c r="F112" s="378"/>
      <c r="G112" s="378"/>
      <c r="H112" s="378"/>
      <c r="I112" s="378"/>
      <c r="J112" s="161"/>
      <c r="K112" s="161"/>
      <c r="L112" s="161"/>
      <c r="M112" s="161"/>
      <c r="N112" s="161"/>
      <c r="O112" s="161"/>
      <c r="P112" s="161"/>
      <c r="Q112" s="161"/>
      <c r="R112" s="219"/>
      <c r="S112" s="161"/>
      <c r="T112" s="161"/>
      <c r="U112" s="161"/>
      <c r="V112" s="161"/>
      <c r="W112" s="161"/>
      <c r="X112" s="161"/>
      <c r="Y112" s="161"/>
      <c r="Z112" s="161"/>
      <c r="AA112" s="161"/>
      <c r="AB112" s="161"/>
      <c r="AC112" s="161"/>
      <c r="AD112" s="161"/>
      <c r="AE112" s="161"/>
      <c r="AF112" s="161"/>
      <c r="AG112" s="161"/>
      <c r="AH112" s="161"/>
      <c r="AI112" s="161"/>
      <c r="AJ112" s="161"/>
      <c r="AK112" s="161"/>
      <c r="AL112" s="161"/>
      <c r="AM112" s="161"/>
      <c r="AN112" s="161"/>
      <c r="AO112" s="161"/>
      <c r="AP112" s="161"/>
      <c r="AQ112" s="161"/>
      <c r="AR112" s="161"/>
      <c r="AS112" s="161"/>
      <c r="AT112" s="161"/>
      <c r="AU112" s="161"/>
      <c r="AV112" s="161"/>
      <c r="AW112" s="161"/>
      <c r="AX112" s="161"/>
      <c r="AY112" s="161"/>
      <c r="AZ112" s="161"/>
      <c r="BA112" s="161"/>
      <c r="BB112" s="161"/>
      <c r="BC112" s="161"/>
      <c r="BD112" s="161"/>
      <c r="BE112" s="161"/>
      <c r="BF112" s="161"/>
      <c r="BG112" s="161"/>
      <c r="BH112" s="161"/>
      <c r="BI112" s="161"/>
      <c r="BJ112" s="161"/>
      <c r="BK112" s="161"/>
      <c r="BL112" s="161"/>
      <c r="BM112" s="161"/>
      <c r="BN112" s="161"/>
      <c r="BO112" s="161"/>
      <c r="BP112" s="161"/>
      <c r="BQ112" s="161"/>
      <c r="BR112" s="161"/>
      <c r="BS112" s="161"/>
      <c r="BT112" s="161"/>
      <c r="BU112" s="161"/>
      <c r="BV112" s="161"/>
      <c r="BW112" s="161"/>
      <c r="BX112" s="161"/>
      <c r="BY112" s="161"/>
      <c r="BZ112" s="161"/>
      <c r="CA112" s="161"/>
      <c r="CB112" s="161"/>
      <c r="CC112" s="161"/>
      <c r="CD112" s="161"/>
      <c r="CE112" s="161"/>
      <c r="CF112" s="161"/>
      <c r="CG112" s="161"/>
      <c r="CH112" s="161"/>
      <c r="CI112" s="161"/>
      <c r="CJ112" s="161"/>
      <c r="CK112" s="161"/>
      <c r="CL112" s="161"/>
      <c r="CM112" s="161"/>
      <c r="CN112" s="161"/>
      <c r="CO112" s="161"/>
      <c r="CP112" s="161"/>
      <c r="CQ112" s="161"/>
      <c r="CR112" s="161"/>
      <c r="CS112" s="161"/>
      <c r="CT112" s="161"/>
      <c r="CU112" s="161"/>
      <c r="CV112" s="161"/>
      <c r="CW112" s="161"/>
      <c r="CX112" s="161"/>
      <c r="CY112" s="161"/>
      <c r="CZ112" s="161"/>
      <c r="DA112" s="161"/>
      <c r="DB112" s="161"/>
      <c r="DC112" s="161"/>
      <c r="DD112" s="161"/>
      <c r="DE112" s="161"/>
      <c r="DF112" s="161"/>
      <c r="DG112" s="161"/>
      <c r="DH112" s="161"/>
      <c r="DI112" s="161"/>
      <c r="DJ112" s="161"/>
      <c r="DK112" s="161"/>
      <c r="DL112" s="161"/>
      <c r="DM112" s="161"/>
      <c r="DN112" s="161"/>
      <c r="DO112" s="161"/>
      <c r="DP112" s="161"/>
      <c r="DQ112" s="161"/>
      <c r="DR112" s="161"/>
      <c r="DS112" s="161"/>
      <c r="DT112" s="161"/>
      <c r="DU112" s="161"/>
      <c r="DV112" s="161"/>
      <c r="DW112" s="161"/>
      <c r="DX112" s="161"/>
    </row>
    <row r="113" ht="36.75" customHeight="1">
      <c r="A113" s="379"/>
      <c r="B113" t="s" s="129">
        <v>271</v>
      </c>
      <c r="C113" s="617"/>
      <c r="D113" s="617"/>
      <c r="E113" t="s" s="618">
        <v>272</v>
      </c>
      <c r="F113" t="s" s="618">
        <v>273</v>
      </c>
      <c r="G113" t="s" s="618">
        <v>274</v>
      </c>
      <c r="H113" t="s" s="618">
        <v>275</v>
      </c>
      <c r="I113" t="s" s="619">
        <v>276</v>
      </c>
      <c r="J113" s="620"/>
      <c r="K113" s="161"/>
      <c r="L113" s="161"/>
      <c r="M113" s="161"/>
      <c r="N113" s="161"/>
      <c r="O113" s="161"/>
      <c r="P113" s="161"/>
      <c r="Q113" s="161"/>
      <c r="R113" s="219"/>
      <c r="S113" s="161"/>
      <c r="T113" s="161"/>
      <c r="U113" s="161"/>
      <c r="V113" s="161"/>
      <c r="W113" s="161"/>
      <c r="X113" s="161"/>
      <c r="Y113" s="161"/>
      <c r="Z113" s="161"/>
      <c r="AA113" s="161"/>
      <c r="AB113" s="161"/>
      <c r="AC113" s="161"/>
      <c r="AD113" s="161"/>
      <c r="AE113" s="161"/>
      <c r="AF113" s="161"/>
      <c r="AG113" s="161"/>
      <c r="AH113" s="161"/>
      <c r="AI113" s="161"/>
      <c r="AJ113" s="161"/>
      <c r="AK113" s="161"/>
      <c r="AL113" s="161"/>
      <c r="AM113" s="161"/>
      <c r="AN113" s="161"/>
      <c r="AO113" s="161"/>
      <c r="AP113" s="161"/>
      <c r="AQ113" s="161"/>
      <c r="AR113" s="161"/>
      <c r="AS113" s="161"/>
      <c r="AT113" s="161"/>
      <c r="AU113" s="161"/>
      <c r="AV113" s="161"/>
      <c r="AW113" s="161"/>
      <c r="AX113" s="161"/>
      <c r="AY113" s="161"/>
      <c r="AZ113" s="161"/>
      <c r="BA113" s="161"/>
      <c r="BB113" s="161"/>
      <c r="BC113" s="161"/>
      <c r="BD113" s="161"/>
      <c r="BE113" s="161"/>
      <c r="BF113" s="161"/>
      <c r="BG113" s="161"/>
      <c r="BH113" s="161"/>
      <c r="BI113" s="161"/>
      <c r="BJ113" s="161"/>
      <c r="BK113" s="161"/>
      <c r="BL113" s="161"/>
      <c r="BM113" s="161"/>
      <c r="BN113" s="161"/>
      <c r="BO113" s="161"/>
      <c r="BP113" s="161"/>
      <c r="BQ113" s="161"/>
      <c r="BR113" s="161"/>
      <c r="BS113" s="161"/>
      <c r="BT113" s="161"/>
      <c r="BU113" s="161"/>
      <c r="BV113" s="161"/>
      <c r="BW113" s="161"/>
      <c r="BX113" s="161"/>
      <c r="BY113" s="161"/>
      <c r="BZ113" s="161"/>
      <c r="CA113" s="161"/>
      <c r="CB113" s="161"/>
      <c r="CC113" s="161"/>
      <c r="CD113" s="161"/>
      <c r="CE113" s="161"/>
      <c r="CF113" s="161"/>
      <c r="CG113" s="161"/>
      <c r="CH113" s="161"/>
      <c r="CI113" s="161"/>
      <c r="CJ113" s="161"/>
      <c r="CK113" s="161"/>
      <c r="CL113" s="161"/>
      <c r="CM113" s="161"/>
      <c r="CN113" s="161"/>
      <c r="CO113" s="161"/>
      <c r="CP113" s="161"/>
      <c r="CQ113" s="161"/>
      <c r="CR113" s="161"/>
      <c r="CS113" s="161"/>
      <c r="CT113" s="161"/>
      <c r="CU113" s="161"/>
      <c r="CV113" s="161"/>
      <c r="CW113" s="161"/>
      <c r="CX113" s="161"/>
      <c r="CY113" s="161"/>
      <c r="CZ113" s="161"/>
      <c r="DA113" s="161"/>
      <c r="DB113" s="161"/>
      <c r="DC113" s="161"/>
      <c r="DD113" s="161"/>
      <c r="DE113" s="161"/>
      <c r="DF113" s="161"/>
      <c r="DG113" s="161"/>
      <c r="DH113" s="161"/>
      <c r="DI113" s="161"/>
      <c r="DJ113" s="161"/>
      <c r="DK113" s="161"/>
      <c r="DL113" s="161"/>
      <c r="DM113" s="161"/>
      <c r="DN113" s="161"/>
      <c r="DO113" s="161"/>
      <c r="DP113" s="161"/>
      <c r="DQ113" s="161"/>
      <c r="DR113" s="161"/>
      <c r="DS113" s="161"/>
      <c r="DT113" s="161"/>
      <c r="DU113" s="161"/>
      <c r="DV113" s="161"/>
      <c r="DW113" s="161"/>
      <c r="DX113" s="161"/>
    </row>
    <row r="114" ht="15.75" customHeight="1">
      <c r="A114" s="379"/>
      <c r="B114" t="s" s="621">
        <v>277</v>
      </c>
      <c r="C114" s="622"/>
      <c r="D114" s="623"/>
      <c r="E114" t="s" s="624">
        <v>181</v>
      </c>
      <c r="F114" s="625">
        <f>_xlfn.SUMIFS($L$11:$L$30,$C$11:$C$30,$B114,$T$11:$T$30,$E114)</f>
        <v>0</v>
      </c>
      <c r="G114" s="625">
        <f>_xlfn.SUMIFS($L$40:$L$59,$C$40:$C$59,$B114,$T$40:$T$59,$E114)+_xlfn.SUMIFS($L$68:$L$87,AY68:AY87,B114,$AG$68:$AG$87,E114)+_xlfn.SUMIFS($AE$11:$AE$31,$C$11:$C$31,B114,$T$11:$T$31,E114)</f>
        <v>0</v>
      </c>
      <c r="H114" s="625">
        <f>G114-F114</f>
        <v>0</v>
      </c>
      <c r="I114" t="s" s="626">
        <v>278</v>
      </c>
      <c r="J114" s="627"/>
      <c r="K114" s="161"/>
      <c r="L114" s="161"/>
      <c r="M114" s="161"/>
      <c r="N114" s="161"/>
      <c r="O114" s="161"/>
      <c r="P114" s="161"/>
      <c r="Q114" s="161"/>
      <c r="R114" s="219"/>
      <c r="S114" s="161"/>
      <c r="T114" s="161"/>
      <c r="U114" s="161"/>
      <c r="V114" s="161"/>
      <c r="W114" s="161"/>
      <c r="X114" s="161"/>
      <c r="Y114" s="161"/>
      <c r="Z114" s="161"/>
      <c r="AA114" s="161"/>
      <c r="AB114" s="161"/>
      <c r="AC114" s="161"/>
      <c r="AD114" s="161"/>
      <c r="AE114" s="161"/>
      <c r="AF114" s="161"/>
      <c r="AG114" s="161"/>
      <c r="AH114" s="161"/>
      <c r="AI114" s="161"/>
      <c r="AJ114" s="161"/>
      <c r="AK114" s="161"/>
      <c r="AL114" s="161"/>
      <c r="AM114" s="161"/>
      <c r="AN114" s="161"/>
      <c r="AO114" s="161"/>
      <c r="AP114" s="161"/>
      <c r="AQ114" s="161"/>
      <c r="AR114" s="161"/>
      <c r="AS114" s="161"/>
      <c r="AT114" s="161"/>
      <c r="AU114" s="161"/>
      <c r="AV114" s="161"/>
      <c r="AW114" s="161"/>
      <c r="AX114" s="161"/>
      <c r="AY114" s="161"/>
      <c r="AZ114" s="161"/>
      <c r="BA114" s="161"/>
      <c r="BB114" s="161"/>
      <c r="BC114" s="161"/>
      <c r="BD114" s="161"/>
      <c r="BE114" s="161"/>
      <c r="BF114" s="161"/>
      <c r="BG114" s="161"/>
      <c r="BH114" s="161"/>
      <c r="BI114" s="161"/>
      <c r="BJ114" s="161"/>
      <c r="BK114" s="161"/>
      <c r="BL114" s="161"/>
      <c r="BM114" s="161"/>
      <c r="BN114" s="161"/>
      <c r="BO114" s="161"/>
      <c r="BP114" s="161"/>
      <c r="BQ114" s="161"/>
      <c r="BR114" s="161"/>
      <c r="BS114" s="161"/>
      <c r="BT114" s="161"/>
      <c r="BU114" s="161"/>
      <c r="BV114" s="161"/>
      <c r="BW114" s="161"/>
      <c r="BX114" s="161"/>
      <c r="BY114" s="161"/>
      <c r="BZ114" s="161"/>
      <c r="CA114" s="161"/>
      <c r="CB114" s="161"/>
      <c r="CC114" s="161"/>
      <c r="CD114" s="161"/>
      <c r="CE114" s="161"/>
      <c r="CF114" s="161"/>
      <c r="CG114" s="161"/>
      <c r="CH114" s="161"/>
      <c r="CI114" s="161"/>
      <c r="CJ114" s="161"/>
      <c r="CK114" s="161"/>
      <c r="CL114" s="161"/>
      <c r="CM114" s="161"/>
      <c r="CN114" s="161"/>
      <c r="CO114" s="161"/>
      <c r="CP114" s="161"/>
      <c r="CQ114" s="161"/>
      <c r="CR114" s="161"/>
      <c r="CS114" s="161"/>
      <c r="CT114" s="161"/>
      <c r="CU114" s="161"/>
      <c r="CV114" s="161"/>
      <c r="CW114" s="161"/>
      <c r="CX114" s="161"/>
      <c r="CY114" s="161"/>
      <c r="CZ114" s="161"/>
      <c r="DA114" s="161"/>
      <c r="DB114" s="161"/>
      <c r="DC114" s="161"/>
      <c r="DD114" s="161"/>
      <c r="DE114" s="161"/>
      <c r="DF114" s="161"/>
      <c r="DG114" s="161"/>
      <c r="DH114" s="161"/>
      <c r="DI114" s="161"/>
      <c r="DJ114" s="161"/>
      <c r="DK114" s="161"/>
      <c r="DL114" s="161"/>
      <c r="DM114" s="161"/>
      <c r="DN114" s="161"/>
      <c r="DO114" s="161"/>
      <c r="DP114" s="161"/>
      <c r="DQ114" s="161"/>
      <c r="DR114" s="161"/>
      <c r="DS114" s="161"/>
      <c r="DT114" s="161"/>
      <c r="DU114" s="161"/>
      <c r="DV114" s="161"/>
      <c r="DW114" s="161"/>
      <c r="DX114" s="161"/>
    </row>
    <row r="115" ht="15.75" customHeight="1">
      <c r="A115" s="379"/>
      <c r="B115" s="628"/>
      <c r="C115" s="629"/>
      <c r="D115" s="630"/>
      <c r="E115" t="s" s="631">
        <v>151</v>
      </c>
      <c r="F115" s="625">
        <f>_xlfn.SUMIFS($L$11:$L$30,$C$11:$C$30,$B114,$T$11:$T$30,$E115)</f>
        <v>0</v>
      </c>
      <c r="G115" s="625">
        <f>_xlfn.SUMIFS($L$40:$L$59,$C$40:$C$59,$B114,$T$40:$T$59,$E115)+_xlfn.SUMIFS($L$68:$L$87,AY68:AY87,B114,$AG$68:$AG$87,E115)+_xlfn.SUMIFS($AE$11:$AE$31,$C$11:$C$31,B114,$T$11:$T$31,E115)</f>
        <v>0</v>
      </c>
      <c r="H115" s="625">
        <f>G115-F115</f>
        <v>0</v>
      </c>
      <c r="I115" t="s" s="632">
        <f>IF(F115=0,"N/A",IF(H115&lt;0,"No ▲","Yes ✓"))</f>
        <v>62</v>
      </c>
      <c r="J115" s="364">
        <f>IF(I115="No ▲",1,0)</f>
        <v>0</v>
      </c>
      <c r="K115" s="161"/>
      <c r="L115" s="161"/>
      <c r="M115" s="161"/>
      <c r="N115" s="161"/>
      <c r="O115" s="161"/>
      <c r="P115" s="161"/>
      <c r="Q115" s="161"/>
      <c r="R115" s="219"/>
      <c r="S115" s="161"/>
      <c r="T115" s="161"/>
      <c r="U115" s="161"/>
      <c r="V115" s="161"/>
      <c r="W115" s="161"/>
      <c r="X115" s="161"/>
      <c r="Y115" s="161"/>
      <c r="Z115" s="161"/>
      <c r="AA115" s="161"/>
      <c r="AB115" s="161"/>
      <c r="AC115" s="161"/>
      <c r="AD115" s="161"/>
      <c r="AE115" s="161"/>
      <c r="AF115" s="161"/>
      <c r="AG115" s="161"/>
      <c r="AH115" s="161"/>
      <c r="AI115" s="161"/>
      <c r="AJ115" s="161"/>
      <c r="AK115" s="161"/>
      <c r="AL115" s="161"/>
      <c r="AM115" s="161"/>
      <c r="AN115" s="161"/>
      <c r="AO115" s="161"/>
      <c r="AP115" s="161"/>
      <c r="AQ115" s="161"/>
      <c r="AR115" s="161"/>
      <c r="AS115" s="161"/>
      <c r="AT115" s="161"/>
      <c r="AU115" s="161"/>
      <c r="AV115" s="161"/>
      <c r="AW115" s="161"/>
      <c r="AX115" s="161"/>
      <c r="AY115" s="161"/>
      <c r="AZ115" s="161"/>
      <c r="BA115" s="161"/>
      <c r="BB115" s="161"/>
      <c r="BC115" s="161"/>
      <c r="BD115" s="161"/>
      <c r="BE115" s="161"/>
      <c r="BF115" s="161"/>
      <c r="BG115" s="161"/>
      <c r="BH115" s="161"/>
      <c r="BI115" s="161"/>
      <c r="BJ115" s="161"/>
      <c r="BK115" s="161"/>
      <c r="BL115" s="161"/>
      <c r="BM115" s="161"/>
      <c r="BN115" s="161"/>
      <c r="BO115" s="161"/>
      <c r="BP115" s="161"/>
      <c r="BQ115" s="161"/>
      <c r="BR115" s="161"/>
      <c r="BS115" s="161"/>
      <c r="BT115" s="161"/>
      <c r="BU115" s="161"/>
      <c r="BV115" s="161"/>
      <c r="BW115" s="161"/>
      <c r="BX115" s="161"/>
      <c r="BY115" s="161"/>
      <c r="BZ115" s="161"/>
      <c r="CA115" s="161"/>
      <c r="CB115" s="161"/>
      <c r="CC115" s="161"/>
      <c r="CD115" s="161"/>
      <c r="CE115" s="161"/>
      <c r="CF115" s="161"/>
      <c r="CG115" s="161"/>
      <c r="CH115" s="161"/>
      <c r="CI115" s="161"/>
      <c r="CJ115" s="161"/>
      <c r="CK115" s="161"/>
      <c r="CL115" s="161"/>
      <c r="CM115" s="161"/>
      <c r="CN115" s="161"/>
      <c r="CO115" s="161"/>
      <c r="CP115" s="161"/>
      <c r="CQ115" s="161"/>
      <c r="CR115" s="161"/>
      <c r="CS115" s="161"/>
      <c r="CT115" s="161"/>
      <c r="CU115" s="161"/>
      <c r="CV115" s="161"/>
      <c r="CW115" s="161"/>
      <c r="CX115" s="161"/>
      <c r="CY115" s="161"/>
      <c r="CZ115" s="161"/>
      <c r="DA115" s="161"/>
      <c r="DB115" s="161"/>
      <c r="DC115" s="161"/>
      <c r="DD115" s="161"/>
      <c r="DE115" s="161"/>
      <c r="DF115" s="161"/>
      <c r="DG115" s="161"/>
      <c r="DH115" s="161"/>
      <c r="DI115" s="161"/>
      <c r="DJ115" s="161"/>
      <c r="DK115" s="161"/>
      <c r="DL115" s="161"/>
      <c r="DM115" s="161"/>
      <c r="DN115" s="161"/>
      <c r="DO115" s="161"/>
      <c r="DP115" s="161"/>
      <c r="DQ115" s="161"/>
      <c r="DR115" s="161"/>
      <c r="DS115" s="161"/>
      <c r="DT115" s="161"/>
      <c r="DU115" s="161"/>
      <c r="DV115" s="161"/>
      <c r="DW115" s="161"/>
      <c r="DX115" s="161"/>
    </row>
    <row r="116" ht="15.75" customHeight="1">
      <c r="A116" s="379"/>
      <c r="B116" t="s" s="621">
        <v>279</v>
      </c>
      <c r="C116" s="622"/>
      <c r="D116" s="623"/>
      <c r="E116" t="s" s="624">
        <v>181</v>
      </c>
      <c r="F116" s="625">
        <f>_xlfn.SUMIFS($L$11:$L$30,$C$11:$C$30,$B116,$T$11:$T$30,$E116)</f>
        <v>0</v>
      </c>
      <c r="G116" s="625">
        <f>_xlfn.SUMIFS($L$40:$L$59,$C$40:$C$59,$B116,$T$40:$T$59,$E116)+_xlfn.SUMIFS($L$68:$L$87,AY68:AY87,B116,$AG$68:$AG$87,E116)+_xlfn.SUMIFS($AE$11:$AE$31,$C$11:$C$31,B116,$T$11:$T$31,E116)</f>
        <v>0</v>
      </c>
      <c r="H116" s="625">
        <f>G116-F116</f>
        <v>0</v>
      </c>
      <c r="I116" t="s" s="626">
        <v>278</v>
      </c>
      <c r="J116" s="627"/>
      <c r="K116" s="161"/>
      <c r="L116" s="161"/>
      <c r="M116" s="161"/>
      <c r="N116" s="161"/>
      <c r="O116" s="161"/>
      <c r="P116" s="161"/>
      <c r="Q116" s="161"/>
      <c r="R116" s="219"/>
      <c r="S116" s="161"/>
      <c r="T116" s="161"/>
      <c r="U116" s="161"/>
      <c r="V116" s="161"/>
      <c r="W116" s="161"/>
      <c r="X116" s="161"/>
      <c r="Y116" s="161"/>
      <c r="Z116" s="161"/>
      <c r="AA116" s="161"/>
      <c r="AB116" s="161"/>
      <c r="AC116" s="161"/>
      <c r="AD116" s="161"/>
      <c r="AE116" s="161"/>
      <c r="AF116" s="161"/>
      <c r="AG116" s="161"/>
      <c r="AH116" s="161"/>
      <c r="AI116" s="161"/>
      <c r="AJ116" s="161"/>
      <c r="AK116" s="161"/>
      <c r="AL116" s="161"/>
      <c r="AM116" s="161"/>
      <c r="AN116" s="161"/>
      <c r="AO116" s="161"/>
      <c r="AP116" s="161"/>
      <c r="AQ116" s="161"/>
      <c r="AR116" s="161"/>
      <c r="AS116" s="161"/>
      <c r="AT116" s="161"/>
      <c r="AU116" s="161"/>
      <c r="AV116" s="161"/>
      <c r="AW116" s="161"/>
      <c r="AX116" s="161"/>
      <c r="AY116" s="161"/>
      <c r="AZ116" s="161"/>
      <c r="BA116" s="161"/>
      <c r="BB116" s="161"/>
      <c r="BC116" s="161"/>
      <c r="BD116" s="161"/>
      <c r="BE116" s="161"/>
      <c r="BF116" s="161"/>
      <c r="BG116" s="161"/>
      <c r="BH116" s="161"/>
      <c r="BI116" s="161"/>
      <c r="BJ116" s="161"/>
      <c r="BK116" s="161"/>
      <c r="BL116" s="161"/>
      <c r="BM116" s="161"/>
      <c r="BN116" s="161"/>
      <c r="BO116" s="161"/>
      <c r="BP116" s="161"/>
      <c r="BQ116" s="161"/>
      <c r="BR116" s="161"/>
      <c r="BS116" s="161"/>
      <c r="BT116" s="161"/>
      <c r="BU116" s="161"/>
      <c r="BV116" s="161"/>
      <c r="BW116" s="161"/>
      <c r="BX116" s="161"/>
      <c r="BY116" s="161"/>
      <c r="BZ116" s="161"/>
      <c r="CA116" s="161"/>
      <c r="CB116" s="161"/>
      <c r="CC116" s="161"/>
      <c r="CD116" s="161"/>
      <c r="CE116" s="161"/>
      <c r="CF116" s="161"/>
      <c r="CG116" s="161"/>
      <c r="CH116" s="161"/>
      <c r="CI116" s="161"/>
      <c r="CJ116" s="161"/>
      <c r="CK116" s="161"/>
      <c r="CL116" s="161"/>
      <c r="CM116" s="161"/>
      <c r="CN116" s="161"/>
      <c r="CO116" s="161"/>
      <c r="CP116" s="161"/>
      <c r="CQ116" s="161"/>
      <c r="CR116" s="161"/>
      <c r="CS116" s="161"/>
      <c r="CT116" s="161"/>
      <c r="CU116" s="161"/>
      <c r="CV116" s="161"/>
      <c r="CW116" s="161"/>
      <c r="CX116" s="161"/>
      <c r="CY116" s="161"/>
      <c r="CZ116" s="161"/>
      <c r="DA116" s="161"/>
      <c r="DB116" s="161"/>
      <c r="DC116" s="161"/>
      <c r="DD116" s="161"/>
      <c r="DE116" s="161"/>
      <c r="DF116" s="161"/>
      <c r="DG116" s="161"/>
      <c r="DH116" s="161"/>
      <c r="DI116" s="161"/>
      <c r="DJ116" s="161"/>
      <c r="DK116" s="161"/>
      <c r="DL116" s="161"/>
      <c r="DM116" s="161"/>
      <c r="DN116" s="161"/>
      <c r="DO116" s="161"/>
      <c r="DP116" s="161"/>
      <c r="DQ116" s="161"/>
      <c r="DR116" s="161"/>
      <c r="DS116" s="161"/>
      <c r="DT116" s="161"/>
      <c r="DU116" s="161"/>
      <c r="DV116" s="161"/>
      <c r="DW116" s="161"/>
      <c r="DX116" s="161"/>
    </row>
    <row r="117" ht="15.75" customHeight="1">
      <c r="A117" s="379"/>
      <c r="B117" s="628"/>
      <c r="C117" s="629"/>
      <c r="D117" s="630"/>
      <c r="E117" t="s" s="631">
        <v>151</v>
      </c>
      <c r="F117" s="625">
        <f>_xlfn.SUMIFS($L$11:$L$30,$C$11:$C$30,$B116,$T$11:$T$30,$E117)</f>
        <v>0</v>
      </c>
      <c r="G117" s="625">
        <f>_xlfn.SUMIFS($L$40:$L$59,$C$40:$C$59,$B116,$T$40:$T$59,$E117)+_xlfn.SUMIFS($L$68:$L$87,AY68:AY87,B116,$AG$68:$AG$87,E117)+_xlfn.SUMIFS($AE$11:$AE$31,$C$11:$C$31,B116,$T$11:$T$31,E117)</f>
        <v>0</v>
      </c>
      <c r="H117" s="625">
        <f>G117-F117</f>
        <v>0</v>
      </c>
      <c r="I117" t="s" s="632">
        <f>IF(F117=0,"N/A",IF(H117&lt;0,"No ▲","Yes ✓"))</f>
        <v>62</v>
      </c>
      <c r="J117" s="364">
        <f>IF(I117="No ▲",1,0)</f>
        <v>0</v>
      </c>
      <c r="K117" s="161"/>
      <c r="L117" s="161"/>
      <c r="M117" s="161"/>
      <c r="N117" s="161"/>
      <c r="O117" s="161"/>
      <c r="P117" s="161"/>
      <c r="Q117" s="161"/>
      <c r="R117" s="219"/>
      <c r="S117" s="161"/>
      <c r="T117" s="161"/>
      <c r="U117" s="161"/>
      <c r="V117" s="161"/>
      <c r="W117" s="161"/>
      <c r="X117" s="161"/>
      <c r="Y117" s="161"/>
      <c r="Z117" s="161"/>
      <c r="AA117" s="161"/>
      <c r="AB117" s="161"/>
      <c r="AC117" s="161"/>
      <c r="AD117" s="161"/>
      <c r="AE117" s="161"/>
      <c r="AF117" s="161"/>
      <c r="AG117" s="161"/>
      <c r="AH117" s="161"/>
      <c r="AI117" s="161"/>
      <c r="AJ117" s="161"/>
      <c r="AK117" s="161"/>
      <c r="AL117" s="161"/>
      <c r="AM117" s="161"/>
      <c r="AN117" s="161"/>
      <c r="AO117" s="161"/>
      <c r="AP117" s="161"/>
      <c r="AQ117" s="161"/>
      <c r="AR117" s="161"/>
      <c r="AS117" s="161"/>
      <c r="AT117" s="161"/>
      <c r="AU117" s="161"/>
      <c r="AV117" s="161"/>
      <c r="AW117" s="161"/>
      <c r="AX117" s="161"/>
      <c r="AY117" s="161"/>
      <c r="AZ117" s="161"/>
      <c r="BA117" s="161"/>
      <c r="BB117" s="161"/>
      <c r="BC117" s="161"/>
      <c r="BD117" s="161"/>
      <c r="BE117" s="161"/>
      <c r="BF117" s="161"/>
      <c r="BG117" s="161"/>
      <c r="BH117" s="161"/>
      <c r="BI117" s="161"/>
      <c r="BJ117" s="161"/>
      <c r="BK117" s="161"/>
      <c r="BL117" s="161"/>
      <c r="BM117" s="161"/>
      <c r="BN117" s="161"/>
      <c r="BO117" s="161"/>
      <c r="BP117" s="161"/>
      <c r="BQ117" s="161"/>
      <c r="BR117" s="161"/>
      <c r="BS117" s="161"/>
      <c r="BT117" s="161"/>
      <c r="BU117" s="161"/>
      <c r="BV117" s="161"/>
      <c r="BW117" s="161"/>
      <c r="BX117" s="161"/>
      <c r="BY117" s="161"/>
      <c r="BZ117" s="161"/>
      <c r="CA117" s="161"/>
      <c r="CB117" s="161"/>
      <c r="CC117" s="161"/>
      <c r="CD117" s="161"/>
      <c r="CE117" s="161"/>
      <c r="CF117" s="161"/>
      <c r="CG117" s="161"/>
      <c r="CH117" s="161"/>
      <c r="CI117" s="161"/>
      <c r="CJ117" s="161"/>
      <c r="CK117" s="161"/>
      <c r="CL117" s="161"/>
      <c r="CM117" s="161"/>
      <c r="CN117" s="161"/>
      <c r="CO117" s="161"/>
      <c r="CP117" s="161"/>
      <c r="CQ117" s="161"/>
      <c r="CR117" s="161"/>
      <c r="CS117" s="161"/>
      <c r="CT117" s="161"/>
      <c r="CU117" s="161"/>
      <c r="CV117" s="161"/>
      <c r="CW117" s="161"/>
      <c r="CX117" s="161"/>
      <c r="CY117" s="161"/>
      <c r="CZ117" s="161"/>
      <c r="DA117" s="161"/>
      <c r="DB117" s="161"/>
      <c r="DC117" s="161"/>
      <c r="DD117" s="161"/>
      <c r="DE117" s="161"/>
      <c r="DF117" s="161"/>
      <c r="DG117" s="161"/>
      <c r="DH117" s="161"/>
      <c r="DI117" s="161"/>
      <c r="DJ117" s="161"/>
      <c r="DK117" s="161"/>
      <c r="DL117" s="161"/>
      <c r="DM117" s="161"/>
      <c r="DN117" s="161"/>
      <c r="DO117" s="161"/>
      <c r="DP117" s="161"/>
      <c r="DQ117" s="161"/>
      <c r="DR117" s="161"/>
      <c r="DS117" s="161"/>
      <c r="DT117" s="161"/>
      <c r="DU117" s="161"/>
      <c r="DV117" s="161"/>
      <c r="DW117" s="161"/>
      <c r="DX117" s="161"/>
    </row>
    <row r="118" ht="15.75" customHeight="1">
      <c r="A118" s="379"/>
      <c r="B118" t="s" s="621">
        <v>280</v>
      </c>
      <c r="C118" s="622"/>
      <c r="D118" s="623"/>
      <c r="E118" t="s" s="624">
        <v>181</v>
      </c>
      <c r="F118" s="625">
        <f>_xlfn.SUMIFS($L$11:$L$30,$C$11:$C$30,$B118,$T$11:$T$30,$E118)</f>
        <v>0</v>
      </c>
      <c r="G118" s="625">
        <f>_xlfn.SUMIFS($L$40:$L$59,$C$40:$C$59,$B118,$T$40:$T$59,$E118)+_xlfn.SUMIFS($L$68:$L$87,$C$68:$C$87,B118,$AG$68:$AG$87,E118)+_xlfn.SUMIFS($AE$11:$AE$31,$C$11:$C$31,B118,$T$11:$T$31,E118)</f>
        <v>0</v>
      </c>
      <c r="H118" s="625">
        <f>G118-F118</f>
        <v>0</v>
      </c>
      <c r="I118" t="s" s="626">
        <v>278</v>
      </c>
      <c r="J118" s="627"/>
      <c r="K118" s="161"/>
      <c r="L118" s="161"/>
      <c r="M118" s="161"/>
      <c r="N118" s="161"/>
      <c r="O118" s="161"/>
      <c r="P118" s="161"/>
      <c r="Q118" s="161"/>
      <c r="R118" s="219"/>
      <c r="S118" s="161"/>
      <c r="T118" s="161"/>
      <c r="U118" s="161"/>
      <c r="V118" s="161"/>
      <c r="W118" s="161"/>
      <c r="X118" s="161"/>
      <c r="Y118" s="161"/>
      <c r="Z118" s="161"/>
      <c r="AA118" s="161"/>
      <c r="AB118" s="161"/>
      <c r="AC118" s="161"/>
      <c r="AD118" s="161"/>
      <c r="AE118" s="161"/>
      <c r="AF118" s="161"/>
      <c r="AG118" s="161"/>
      <c r="AH118" s="161"/>
      <c r="AI118" s="161"/>
      <c r="AJ118" s="161"/>
      <c r="AK118" s="161"/>
      <c r="AL118" s="161"/>
      <c r="AM118" s="161"/>
      <c r="AN118" s="161"/>
      <c r="AO118" s="161"/>
      <c r="AP118" s="161"/>
      <c r="AQ118" s="161"/>
      <c r="AR118" s="161"/>
      <c r="AS118" s="161"/>
      <c r="AT118" s="161"/>
      <c r="AU118" s="161"/>
      <c r="AV118" s="161"/>
      <c r="AW118" s="161"/>
      <c r="AX118" s="161"/>
      <c r="AY118" s="161"/>
      <c r="AZ118" s="161"/>
      <c r="BA118" s="161"/>
      <c r="BB118" s="161"/>
      <c r="BC118" s="161"/>
      <c r="BD118" s="161"/>
      <c r="BE118" s="161"/>
      <c r="BF118" s="161"/>
      <c r="BG118" s="161"/>
      <c r="BH118" s="161"/>
      <c r="BI118" s="161"/>
      <c r="BJ118" s="161"/>
      <c r="BK118" s="161"/>
      <c r="BL118" s="161"/>
      <c r="BM118" s="161"/>
      <c r="BN118" s="161"/>
      <c r="BO118" s="161"/>
      <c r="BP118" s="161"/>
      <c r="BQ118" s="161"/>
      <c r="BR118" s="161"/>
      <c r="BS118" s="161"/>
      <c r="BT118" s="161"/>
      <c r="BU118" s="161"/>
      <c r="BV118" s="161"/>
      <c r="BW118" s="161"/>
      <c r="BX118" s="161"/>
      <c r="BY118" s="161"/>
      <c r="BZ118" s="161"/>
      <c r="CA118" s="161"/>
      <c r="CB118" s="161"/>
      <c r="CC118" s="161"/>
      <c r="CD118" s="161"/>
      <c r="CE118" s="161"/>
      <c r="CF118" s="161"/>
      <c r="CG118" s="161"/>
      <c r="CH118" s="161"/>
      <c r="CI118" s="161"/>
      <c r="CJ118" s="161"/>
      <c r="CK118" s="161"/>
      <c r="CL118" s="161"/>
      <c r="CM118" s="161"/>
      <c r="CN118" s="161"/>
      <c r="CO118" s="161"/>
      <c r="CP118" s="161"/>
      <c r="CQ118" s="161"/>
      <c r="CR118" s="161"/>
      <c r="CS118" s="161"/>
      <c r="CT118" s="161"/>
      <c r="CU118" s="161"/>
      <c r="CV118" s="161"/>
      <c r="CW118" s="161"/>
      <c r="CX118" s="161"/>
      <c r="CY118" s="161"/>
      <c r="CZ118" s="161"/>
      <c r="DA118" s="161"/>
      <c r="DB118" s="161"/>
      <c r="DC118" s="161"/>
      <c r="DD118" s="161"/>
      <c r="DE118" s="161"/>
      <c r="DF118" s="161"/>
      <c r="DG118" s="161"/>
      <c r="DH118" s="161"/>
      <c r="DI118" s="161"/>
      <c r="DJ118" s="161"/>
      <c r="DK118" s="161"/>
      <c r="DL118" s="161"/>
      <c r="DM118" s="161"/>
      <c r="DN118" s="161"/>
      <c r="DO118" s="161"/>
      <c r="DP118" s="161"/>
      <c r="DQ118" s="161"/>
      <c r="DR118" s="161"/>
      <c r="DS118" s="161"/>
      <c r="DT118" s="161"/>
      <c r="DU118" s="161"/>
      <c r="DV118" s="161"/>
      <c r="DW118" s="161"/>
      <c r="DX118" s="161"/>
    </row>
    <row r="119" ht="15.75" customHeight="1">
      <c r="A119" s="379"/>
      <c r="B119" s="628"/>
      <c r="C119" s="629"/>
      <c r="D119" s="630"/>
      <c r="E119" t="s" s="631">
        <v>151</v>
      </c>
      <c r="F119" s="625">
        <f>_xlfn.SUMIFS($L$11:$L$30,$C$11:$C$30,$B118,$T$11:$T$30,$E119)</f>
        <v>0</v>
      </c>
      <c r="G119" s="625">
        <f>_xlfn.SUMIFS($L$40:$L$59,$C$40:$C$59,$B118,$T$40:$T$59,$E119)+_xlfn.SUMIFS($L$68:$L$87,$C$68:$C$87,B118,$AG$68:$AG$87,E119)+_xlfn.SUMIFS($AE$11:$AE$31,$C$11:$C$31,B118,$T$11:$T$31,E119)</f>
        <v>0</v>
      </c>
      <c r="H119" s="625">
        <f>G119-F119</f>
        <v>0</v>
      </c>
      <c r="I119" t="s" s="632">
        <f>IF(F119=0,"N/A",IF(H119&lt;0,"No ▲","Yes ✓"))</f>
        <v>62</v>
      </c>
      <c r="J119" s="364">
        <f>IF(I119="No ▲",1,0)</f>
        <v>0</v>
      </c>
      <c r="K119" s="161"/>
      <c r="L119" s="161"/>
      <c r="M119" s="161"/>
      <c r="N119" s="161"/>
      <c r="O119" s="161"/>
      <c r="P119" s="161"/>
      <c r="Q119" s="161"/>
      <c r="R119" s="219"/>
      <c r="S119" s="161"/>
      <c r="T119" s="161"/>
      <c r="U119" s="161"/>
      <c r="V119" s="161"/>
      <c r="W119" s="161"/>
      <c r="X119" s="161"/>
      <c r="Y119" s="161"/>
      <c r="Z119" s="161"/>
      <c r="AA119" s="161"/>
      <c r="AB119" s="161"/>
      <c r="AC119" s="161"/>
      <c r="AD119" s="161"/>
      <c r="AE119" s="161"/>
      <c r="AF119" s="161"/>
      <c r="AG119" s="161"/>
      <c r="AH119" s="161"/>
      <c r="AI119" s="161"/>
      <c r="AJ119" s="161"/>
      <c r="AK119" s="161"/>
      <c r="AL119" s="161"/>
      <c r="AM119" s="161"/>
      <c r="AN119" s="161"/>
      <c r="AO119" s="161"/>
      <c r="AP119" s="161"/>
      <c r="AQ119" s="161"/>
      <c r="AR119" s="161"/>
      <c r="AS119" s="161"/>
      <c r="AT119" s="161"/>
      <c r="AU119" s="161"/>
      <c r="AV119" s="161"/>
      <c r="AW119" s="161"/>
      <c r="AX119" s="161"/>
      <c r="AY119" s="161"/>
      <c r="AZ119" s="161"/>
      <c r="BA119" s="161"/>
      <c r="BB119" s="161"/>
      <c r="BC119" s="161"/>
      <c r="BD119" s="161"/>
      <c r="BE119" s="161"/>
      <c r="BF119" s="161"/>
      <c r="BG119" s="161"/>
      <c r="BH119" s="161"/>
      <c r="BI119" s="161"/>
      <c r="BJ119" s="161"/>
      <c r="BK119" s="161"/>
      <c r="BL119" s="161"/>
      <c r="BM119" s="161"/>
      <c r="BN119" s="161"/>
      <c r="BO119" s="161"/>
      <c r="BP119" s="161"/>
      <c r="BQ119" s="161"/>
      <c r="BR119" s="161"/>
      <c r="BS119" s="161"/>
      <c r="BT119" s="161"/>
      <c r="BU119" s="161"/>
      <c r="BV119" s="161"/>
      <c r="BW119" s="161"/>
      <c r="BX119" s="161"/>
      <c r="BY119" s="161"/>
      <c r="BZ119" s="161"/>
      <c r="CA119" s="161"/>
      <c r="CB119" s="161"/>
      <c r="CC119" s="161"/>
      <c r="CD119" s="161"/>
      <c r="CE119" s="161"/>
      <c r="CF119" s="161"/>
      <c r="CG119" s="161"/>
      <c r="CH119" s="161"/>
      <c r="CI119" s="161"/>
      <c r="CJ119" s="161"/>
      <c r="CK119" s="161"/>
      <c r="CL119" s="161"/>
      <c r="CM119" s="161"/>
      <c r="CN119" s="161"/>
      <c r="CO119" s="161"/>
      <c r="CP119" s="161"/>
      <c r="CQ119" s="161"/>
      <c r="CR119" s="161"/>
      <c r="CS119" s="161"/>
      <c r="CT119" s="161"/>
      <c r="CU119" s="161"/>
      <c r="CV119" s="161"/>
      <c r="CW119" s="161"/>
      <c r="CX119" s="161"/>
      <c r="CY119" s="161"/>
      <c r="CZ119" s="161"/>
      <c r="DA119" s="161"/>
      <c r="DB119" s="161"/>
      <c r="DC119" s="161"/>
      <c r="DD119" s="161"/>
      <c r="DE119" s="161"/>
      <c r="DF119" s="161"/>
      <c r="DG119" s="161"/>
      <c r="DH119" s="161"/>
      <c r="DI119" s="161"/>
      <c r="DJ119" s="161"/>
      <c r="DK119" s="161"/>
      <c r="DL119" s="161"/>
      <c r="DM119" s="161"/>
      <c r="DN119" s="161"/>
      <c r="DO119" s="161"/>
      <c r="DP119" s="161"/>
      <c r="DQ119" s="161"/>
      <c r="DR119" s="161"/>
      <c r="DS119" s="161"/>
      <c r="DT119" s="161"/>
      <c r="DU119" s="161"/>
      <c r="DV119" s="161"/>
      <c r="DW119" s="161"/>
      <c r="DX119" s="161"/>
    </row>
    <row r="120" ht="15.75" customHeight="1">
      <c r="A120" s="379"/>
      <c r="B120" t="s" s="621">
        <v>281</v>
      </c>
      <c r="C120" s="622"/>
      <c r="D120" s="623"/>
      <c r="E120" t="s" s="624">
        <v>181</v>
      </c>
      <c r="F120" s="625">
        <f>_xlfn.SUMIFS($L$11:$L$30,$C$11:$C$30,$B120,$T$11:$T$30,$E120)</f>
        <v>0</v>
      </c>
      <c r="G120" s="625">
        <f>_xlfn.SUMIFS($L$40:$L$59,$C$40:$C$59,$B120,$T$40:$T$59,$E120)+_xlfn.SUMIFS($L$68:$L$87,$C$68:$C$87,B120,$AG$68:$AG$87,E120)+_xlfn.SUMIFS($AE$11:$AE$31,$C$11:$C$31,B120,$T$11:$T$31,E120)</f>
        <v>0</v>
      </c>
      <c r="H120" s="625">
        <f>G120-F120</f>
        <v>0</v>
      </c>
      <c r="I120" t="s" s="626">
        <v>278</v>
      </c>
      <c r="J120" s="627"/>
      <c r="K120" s="161"/>
      <c r="L120" s="161"/>
      <c r="M120" s="161"/>
      <c r="N120" s="161"/>
      <c r="O120" s="161"/>
      <c r="P120" s="161"/>
      <c r="Q120" s="161"/>
      <c r="R120" s="219"/>
      <c r="S120" s="161"/>
      <c r="T120" s="161"/>
      <c r="U120" s="161"/>
      <c r="V120" s="161"/>
      <c r="W120" s="161"/>
      <c r="X120" s="161"/>
      <c r="Y120" s="161"/>
      <c r="Z120" s="161"/>
      <c r="AA120" s="161"/>
      <c r="AB120" s="161"/>
      <c r="AC120" s="161"/>
      <c r="AD120" s="161"/>
      <c r="AE120" s="161"/>
      <c r="AF120" s="161"/>
      <c r="AG120" s="161"/>
      <c r="AH120" s="161"/>
      <c r="AI120" s="161"/>
      <c r="AJ120" s="161"/>
      <c r="AK120" s="161"/>
      <c r="AL120" s="161"/>
      <c r="AM120" s="161"/>
      <c r="AN120" s="161"/>
      <c r="AO120" s="161"/>
      <c r="AP120" s="161"/>
      <c r="AQ120" s="161"/>
      <c r="AR120" s="161"/>
      <c r="AS120" s="161"/>
      <c r="AT120" s="161"/>
      <c r="AU120" s="161"/>
      <c r="AV120" s="161"/>
      <c r="AW120" s="161"/>
      <c r="AX120" s="161"/>
      <c r="AY120" s="161"/>
      <c r="AZ120" s="161"/>
      <c r="BA120" s="161"/>
      <c r="BB120" s="161"/>
      <c r="BC120" s="161"/>
      <c r="BD120" s="161"/>
      <c r="BE120" s="161"/>
      <c r="BF120" s="161"/>
      <c r="BG120" s="161"/>
      <c r="BH120" s="161"/>
      <c r="BI120" s="161"/>
      <c r="BJ120" s="161"/>
      <c r="BK120" s="161"/>
      <c r="BL120" s="161"/>
      <c r="BM120" s="161"/>
      <c r="BN120" s="161"/>
      <c r="BO120" s="161"/>
      <c r="BP120" s="161"/>
      <c r="BQ120" s="161"/>
      <c r="BR120" s="161"/>
      <c r="BS120" s="161"/>
      <c r="BT120" s="161"/>
      <c r="BU120" s="161"/>
      <c r="BV120" s="161"/>
      <c r="BW120" s="161"/>
      <c r="BX120" s="161"/>
      <c r="BY120" s="161"/>
      <c r="BZ120" s="161"/>
      <c r="CA120" s="161"/>
      <c r="CB120" s="161"/>
      <c r="CC120" s="161"/>
      <c r="CD120" s="161"/>
      <c r="CE120" s="161"/>
      <c r="CF120" s="161"/>
      <c r="CG120" s="161"/>
      <c r="CH120" s="161"/>
      <c r="CI120" s="161"/>
      <c r="CJ120" s="161"/>
      <c r="CK120" s="161"/>
      <c r="CL120" s="161"/>
      <c r="CM120" s="161"/>
      <c r="CN120" s="161"/>
      <c r="CO120" s="161"/>
      <c r="CP120" s="161"/>
      <c r="CQ120" s="161"/>
      <c r="CR120" s="161"/>
      <c r="CS120" s="161"/>
      <c r="CT120" s="161"/>
      <c r="CU120" s="161"/>
      <c r="CV120" s="161"/>
      <c r="CW120" s="161"/>
      <c r="CX120" s="161"/>
      <c r="CY120" s="161"/>
      <c r="CZ120" s="161"/>
      <c r="DA120" s="161"/>
      <c r="DB120" s="161"/>
      <c r="DC120" s="161"/>
      <c r="DD120" s="161"/>
      <c r="DE120" s="161"/>
      <c r="DF120" s="161"/>
      <c r="DG120" s="161"/>
      <c r="DH120" s="161"/>
      <c r="DI120" s="161"/>
      <c r="DJ120" s="161"/>
      <c r="DK120" s="161"/>
      <c r="DL120" s="161"/>
      <c r="DM120" s="161"/>
      <c r="DN120" s="161"/>
      <c r="DO120" s="161"/>
      <c r="DP120" s="161"/>
      <c r="DQ120" s="161"/>
      <c r="DR120" s="161"/>
      <c r="DS120" s="161"/>
      <c r="DT120" s="161"/>
      <c r="DU120" s="161"/>
      <c r="DV120" s="161"/>
      <c r="DW120" s="161"/>
      <c r="DX120" s="161"/>
    </row>
    <row r="121" ht="15.75" customHeight="1">
      <c r="A121" s="379"/>
      <c r="B121" s="628"/>
      <c r="C121" s="629"/>
      <c r="D121" s="630"/>
      <c r="E121" t="s" s="631">
        <v>151</v>
      </c>
      <c r="F121" s="625">
        <f>_xlfn.SUMIFS($L$11:$L$30,$C$11:$C$30,$B120,$T$11:$T$30,$E121)</f>
        <v>0</v>
      </c>
      <c r="G121" s="625">
        <f>_xlfn.SUMIFS($L$40:$L$59,$C$40:$C$59,$B120,$T$40:$T$59,$E121)+_xlfn.SUMIFS($L$68:$L$87,$C$68:$C$87,B120,$AG$68:$AG$87,E121)+_xlfn.SUMIFS($AE$11:$AE$31,$C$11:$C$31,B120,$T$11:$T$31,E121)</f>
        <v>0</v>
      </c>
      <c r="H121" s="625">
        <f>G121-F121</f>
        <v>0</v>
      </c>
      <c r="I121" t="s" s="632">
        <f>IF(F121=0,"N/A",IF(H121&lt;0,"No ▲","Yes ✓"))</f>
        <v>62</v>
      </c>
      <c r="J121" s="364">
        <f>IF(I121="No ▲",1,0)</f>
        <v>0</v>
      </c>
      <c r="K121" s="161"/>
      <c r="L121" s="161"/>
      <c r="M121" s="161"/>
      <c r="N121" s="161"/>
      <c r="O121" s="161"/>
      <c r="P121" s="161"/>
      <c r="Q121" s="161"/>
      <c r="R121" s="219"/>
      <c r="S121" s="161"/>
      <c r="T121" s="161"/>
      <c r="U121" s="161"/>
      <c r="V121" s="161"/>
      <c r="W121" s="161"/>
      <c r="X121" s="161"/>
      <c r="Y121" s="161"/>
      <c r="Z121" s="161"/>
      <c r="AA121" s="161"/>
      <c r="AB121" s="161"/>
      <c r="AC121" s="161"/>
      <c r="AD121" s="161"/>
      <c r="AE121" s="161"/>
      <c r="AF121" s="161"/>
      <c r="AG121" s="161"/>
      <c r="AH121" s="161"/>
      <c r="AI121" s="161"/>
      <c r="AJ121" s="161"/>
      <c r="AK121" s="161"/>
      <c r="AL121" s="161"/>
      <c r="AM121" s="161"/>
      <c r="AN121" s="161"/>
      <c r="AO121" s="161"/>
      <c r="AP121" s="161"/>
      <c r="AQ121" s="161"/>
      <c r="AR121" s="161"/>
      <c r="AS121" s="161"/>
      <c r="AT121" s="161"/>
      <c r="AU121" s="161"/>
      <c r="AV121" s="161"/>
      <c r="AW121" s="161"/>
      <c r="AX121" s="161"/>
      <c r="AY121" s="161"/>
      <c r="AZ121" s="161"/>
      <c r="BA121" s="161"/>
      <c r="BB121" s="161"/>
      <c r="BC121" s="161"/>
      <c r="BD121" s="161"/>
      <c r="BE121" s="161"/>
      <c r="BF121" s="161"/>
      <c r="BG121" s="161"/>
      <c r="BH121" s="161"/>
      <c r="BI121" s="161"/>
      <c r="BJ121" s="161"/>
      <c r="BK121" s="161"/>
      <c r="BL121" s="161"/>
      <c r="BM121" s="161"/>
      <c r="BN121" s="161"/>
      <c r="BO121" s="161"/>
      <c r="BP121" s="161"/>
      <c r="BQ121" s="161"/>
      <c r="BR121" s="161"/>
      <c r="BS121" s="161"/>
      <c r="BT121" s="161"/>
      <c r="BU121" s="161"/>
      <c r="BV121" s="161"/>
      <c r="BW121" s="161"/>
      <c r="BX121" s="161"/>
      <c r="BY121" s="161"/>
      <c r="BZ121" s="161"/>
      <c r="CA121" s="161"/>
      <c r="CB121" s="161"/>
      <c r="CC121" s="161"/>
      <c r="CD121" s="161"/>
      <c r="CE121" s="161"/>
      <c r="CF121" s="161"/>
      <c r="CG121" s="161"/>
      <c r="CH121" s="161"/>
      <c r="CI121" s="161"/>
      <c r="CJ121" s="161"/>
      <c r="CK121" s="161"/>
      <c r="CL121" s="161"/>
      <c r="CM121" s="161"/>
      <c r="CN121" s="161"/>
      <c r="CO121" s="161"/>
      <c r="CP121" s="161"/>
      <c r="CQ121" s="161"/>
      <c r="CR121" s="161"/>
      <c r="CS121" s="161"/>
      <c r="CT121" s="161"/>
      <c r="CU121" s="161"/>
      <c r="CV121" s="161"/>
      <c r="CW121" s="161"/>
      <c r="CX121" s="161"/>
      <c r="CY121" s="161"/>
      <c r="CZ121" s="161"/>
      <c r="DA121" s="161"/>
      <c r="DB121" s="161"/>
      <c r="DC121" s="161"/>
      <c r="DD121" s="161"/>
      <c r="DE121" s="161"/>
      <c r="DF121" s="161"/>
      <c r="DG121" s="161"/>
      <c r="DH121" s="161"/>
      <c r="DI121" s="161"/>
      <c r="DJ121" s="161"/>
      <c r="DK121" s="161"/>
      <c r="DL121" s="161"/>
      <c r="DM121" s="161"/>
      <c r="DN121" s="161"/>
      <c r="DO121" s="161"/>
      <c r="DP121" s="161"/>
      <c r="DQ121" s="161"/>
      <c r="DR121" s="161"/>
      <c r="DS121" s="161"/>
      <c r="DT121" s="161"/>
      <c r="DU121" s="161"/>
      <c r="DV121" s="161"/>
      <c r="DW121" s="161"/>
      <c r="DX121" s="161"/>
    </row>
    <row r="122" ht="15.75" customHeight="1">
      <c r="A122" s="379"/>
      <c r="B122" t="s" s="621">
        <v>282</v>
      </c>
      <c r="C122" s="622"/>
      <c r="D122" s="623"/>
      <c r="E122" t="s" s="624">
        <v>181</v>
      </c>
      <c r="F122" s="625">
        <f>_xlfn.SUMIFS($L$11:$L$30,$C$11:$C$30,$B122,$T$11:$T$30,$E122)</f>
        <v>0</v>
      </c>
      <c r="G122" s="625">
        <f>_xlfn.SUMIFS($L$40:$L$59,$C$40:$C$59,$B122,$T$40:$T$59,$E122)+_xlfn.SUMIFS($L$68:$L$87,$C$68:$C$87,B122,$AG$68:$AG$87,E122)+_xlfn.SUMIFS($AE$11:$AE$31,$C$11:$C$31,B122,$T$11:$T$31,E122)</f>
        <v>0</v>
      </c>
      <c r="H122" s="625">
        <f>G122-F122</f>
        <v>0</v>
      </c>
      <c r="I122" t="s" s="626">
        <v>278</v>
      </c>
      <c r="J122" s="627"/>
      <c r="K122" s="161"/>
      <c r="L122" s="161"/>
      <c r="M122" s="161"/>
      <c r="N122" s="161"/>
      <c r="O122" s="161"/>
      <c r="P122" s="161"/>
      <c r="Q122" s="161"/>
      <c r="R122" s="219"/>
      <c r="S122" s="161"/>
      <c r="T122" s="161"/>
      <c r="U122" s="161"/>
      <c r="V122" s="161"/>
      <c r="W122" s="161"/>
      <c r="X122" s="161"/>
      <c r="Y122" s="161"/>
      <c r="Z122" s="161"/>
      <c r="AA122" s="161"/>
      <c r="AB122" s="161"/>
      <c r="AC122" s="161"/>
      <c r="AD122" s="161"/>
      <c r="AE122" s="161"/>
      <c r="AF122" s="161"/>
      <c r="AG122" s="161"/>
      <c r="AH122" s="161"/>
      <c r="AI122" s="161"/>
      <c r="AJ122" s="161"/>
      <c r="AK122" s="161"/>
      <c r="AL122" s="161"/>
      <c r="AM122" s="161"/>
      <c r="AN122" s="161"/>
      <c r="AO122" s="161"/>
      <c r="AP122" s="161"/>
      <c r="AQ122" s="161"/>
      <c r="AR122" s="161"/>
      <c r="AS122" s="161"/>
      <c r="AT122" s="161"/>
      <c r="AU122" s="161"/>
      <c r="AV122" s="161"/>
      <c r="AW122" s="161"/>
      <c r="AX122" s="161"/>
      <c r="AY122" s="161"/>
      <c r="AZ122" s="161"/>
      <c r="BA122" s="161"/>
      <c r="BB122" s="161"/>
      <c r="BC122" s="161"/>
      <c r="BD122" s="161"/>
      <c r="BE122" s="161"/>
      <c r="BF122" s="161"/>
      <c r="BG122" s="161"/>
      <c r="BH122" s="161"/>
      <c r="BI122" s="161"/>
      <c r="BJ122" s="161"/>
      <c r="BK122" s="161"/>
      <c r="BL122" s="161"/>
      <c r="BM122" s="161"/>
      <c r="BN122" s="161"/>
      <c r="BO122" s="161"/>
      <c r="BP122" s="161"/>
      <c r="BQ122" s="161"/>
      <c r="BR122" s="161"/>
      <c r="BS122" s="161"/>
      <c r="BT122" s="161"/>
      <c r="BU122" s="161"/>
      <c r="BV122" s="161"/>
      <c r="BW122" s="161"/>
      <c r="BX122" s="161"/>
      <c r="BY122" s="161"/>
      <c r="BZ122" s="161"/>
      <c r="CA122" s="161"/>
      <c r="CB122" s="161"/>
      <c r="CC122" s="161"/>
      <c r="CD122" s="161"/>
      <c r="CE122" s="161"/>
      <c r="CF122" s="161"/>
      <c r="CG122" s="161"/>
      <c r="CH122" s="161"/>
      <c r="CI122" s="161"/>
      <c r="CJ122" s="161"/>
      <c r="CK122" s="161"/>
      <c r="CL122" s="161"/>
      <c r="CM122" s="161"/>
      <c r="CN122" s="161"/>
      <c r="CO122" s="161"/>
      <c r="CP122" s="161"/>
      <c r="CQ122" s="161"/>
      <c r="CR122" s="161"/>
      <c r="CS122" s="161"/>
      <c r="CT122" s="161"/>
      <c r="CU122" s="161"/>
      <c r="CV122" s="161"/>
      <c r="CW122" s="161"/>
      <c r="CX122" s="161"/>
      <c r="CY122" s="161"/>
      <c r="CZ122" s="161"/>
      <c r="DA122" s="161"/>
      <c r="DB122" s="161"/>
      <c r="DC122" s="161"/>
      <c r="DD122" s="161"/>
      <c r="DE122" s="161"/>
      <c r="DF122" s="161"/>
      <c r="DG122" s="161"/>
      <c r="DH122" s="161"/>
      <c r="DI122" s="161"/>
      <c r="DJ122" s="161"/>
      <c r="DK122" s="161"/>
      <c r="DL122" s="161"/>
      <c r="DM122" s="161"/>
      <c r="DN122" s="161"/>
      <c r="DO122" s="161"/>
      <c r="DP122" s="161"/>
      <c r="DQ122" s="161"/>
      <c r="DR122" s="161"/>
      <c r="DS122" s="161"/>
      <c r="DT122" s="161"/>
      <c r="DU122" s="161"/>
      <c r="DV122" s="161"/>
      <c r="DW122" s="161"/>
      <c r="DX122" s="161"/>
    </row>
    <row r="123" ht="15.75" customHeight="1">
      <c r="A123" s="379"/>
      <c r="B123" s="628"/>
      <c r="C123" s="629"/>
      <c r="D123" s="630"/>
      <c r="E123" t="s" s="631">
        <v>151</v>
      </c>
      <c r="F123" s="625">
        <f>_xlfn.SUMIFS($L$11:$L$30,$C$11:$C$30,$B122,$T$11:$T$30,$E123)</f>
        <v>0</v>
      </c>
      <c r="G123" s="625">
        <f>_xlfn.SUMIFS($L$40:$L$59,$C$40:$C$59,$B$122,$T$40:$T$59,$E$123)+_xlfn.SUMIFS($L$68:$L$87,$C$68:$C$87,$B$122,$AG$68:$AG$87,$E$123)+_xlfn.SUMIFS($AE$11:$AE$31,$C$11:$C$31,$B$122,$T$11:$T$31,$E$123)</f>
        <v>0</v>
      </c>
      <c r="H123" s="625">
        <f>G123-F123</f>
        <v>0</v>
      </c>
      <c r="I123" t="s" s="632">
        <f>IF(F123=0,"N/A",IF(H123&lt;0,"No ▲","Yes ✓"))</f>
        <v>62</v>
      </c>
      <c r="J123" s="364">
        <f>IF(I123="No ▲",1,0)</f>
        <v>0</v>
      </c>
      <c r="K123" s="161"/>
      <c r="L123" s="161"/>
      <c r="M123" s="161"/>
      <c r="N123" s="161"/>
      <c r="O123" s="161"/>
      <c r="P123" s="161"/>
      <c r="Q123" s="161"/>
      <c r="R123" s="219"/>
      <c r="S123" s="161"/>
      <c r="T123" s="161"/>
      <c r="U123" s="161"/>
      <c r="V123" s="161"/>
      <c r="W123" s="161"/>
      <c r="X123" s="161"/>
      <c r="Y123" s="161"/>
      <c r="Z123" s="161"/>
      <c r="AA123" s="161"/>
      <c r="AB123" s="161"/>
      <c r="AC123" s="161"/>
      <c r="AD123" s="161"/>
      <c r="AE123" s="161"/>
      <c r="AF123" s="161"/>
      <c r="AG123" s="161"/>
      <c r="AH123" s="161"/>
      <c r="AI123" s="161"/>
      <c r="AJ123" s="161"/>
      <c r="AK123" s="161"/>
      <c r="AL123" s="161"/>
      <c r="AM123" s="161"/>
      <c r="AN123" s="161"/>
      <c r="AO123" s="161"/>
      <c r="AP123" s="161"/>
      <c r="AQ123" s="161"/>
      <c r="AR123" s="161"/>
      <c r="AS123" s="161"/>
      <c r="AT123" s="161"/>
      <c r="AU123" s="161"/>
      <c r="AV123" s="161"/>
      <c r="AW123" s="161"/>
      <c r="AX123" s="161"/>
      <c r="AY123" s="161"/>
      <c r="AZ123" s="161"/>
      <c r="BA123" s="161"/>
      <c r="BB123" s="161"/>
      <c r="BC123" s="161"/>
      <c r="BD123" s="161"/>
      <c r="BE123" s="161"/>
      <c r="BF123" s="161"/>
      <c r="BG123" s="161"/>
      <c r="BH123" s="161"/>
      <c r="BI123" s="161"/>
      <c r="BJ123" s="161"/>
      <c r="BK123" s="161"/>
      <c r="BL123" s="161"/>
      <c r="BM123" s="161"/>
      <c r="BN123" s="161"/>
      <c r="BO123" s="161"/>
      <c r="BP123" s="161"/>
      <c r="BQ123" s="161"/>
      <c r="BR123" s="161"/>
      <c r="BS123" s="161"/>
      <c r="BT123" s="161"/>
      <c r="BU123" s="161"/>
      <c r="BV123" s="161"/>
      <c r="BW123" s="161"/>
      <c r="BX123" s="161"/>
      <c r="BY123" s="161"/>
      <c r="BZ123" s="161"/>
      <c r="CA123" s="161"/>
      <c r="CB123" s="161"/>
      <c r="CC123" s="161"/>
      <c r="CD123" s="161"/>
      <c r="CE123" s="161"/>
      <c r="CF123" s="161"/>
      <c r="CG123" s="161"/>
      <c r="CH123" s="161"/>
      <c r="CI123" s="161"/>
      <c r="CJ123" s="161"/>
      <c r="CK123" s="161"/>
      <c r="CL123" s="161"/>
      <c r="CM123" s="161"/>
      <c r="CN123" s="161"/>
      <c r="CO123" s="161"/>
      <c r="CP123" s="161"/>
      <c r="CQ123" s="161"/>
      <c r="CR123" s="161"/>
      <c r="CS123" s="161"/>
      <c r="CT123" s="161"/>
      <c r="CU123" s="161"/>
      <c r="CV123" s="161"/>
      <c r="CW123" s="161"/>
      <c r="CX123" s="161"/>
      <c r="CY123" s="161"/>
      <c r="CZ123" s="161"/>
      <c r="DA123" s="161"/>
      <c r="DB123" s="161"/>
      <c r="DC123" s="161"/>
      <c r="DD123" s="161"/>
      <c r="DE123" s="161"/>
      <c r="DF123" s="161"/>
      <c r="DG123" s="161"/>
      <c r="DH123" s="161"/>
      <c r="DI123" s="161"/>
      <c r="DJ123" s="161"/>
      <c r="DK123" s="161"/>
      <c r="DL123" s="161"/>
      <c r="DM123" s="161"/>
      <c r="DN123" s="161"/>
      <c r="DO123" s="161"/>
      <c r="DP123" s="161"/>
      <c r="DQ123" s="161"/>
      <c r="DR123" s="161"/>
      <c r="DS123" s="161"/>
      <c r="DT123" s="161"/>
      <c r="DU123" s="161"/>
      <c r="DV123" s="161"/>
      <c r="DW123" s="161"/>
      <c r="DX123" s="161"/>
    </row>
    <row r="124" ht="15.75" customHeight="1">
      <c r="A124" s="379"/>
      <c r="B124" t="s" s="621">
        <v>283</v>
      </c>
      <c r="C124" s="622"/>
      <c r="D124" s="623"/>
      <c r="E124" t="s" s="624">
        <v>181</v>
      </c>
      <c r="F124" s="625">
        <f>_xlfn.SUMIFS($L$11:$L$30,$C$11:$C$30,$B124,$T$11:$T$30,$E124)</f>
        <v>0</v>
      </c>
      <c r="G124" s="625">
        <f>_xlfn.SUMIFS($L$40:$L$59,$C$40:$C$59,$B124,$T$40:$T$59,$E124)+_xlfn.SUMIFS($L$68:$L$87,$C$68:$C$87,B124,$AG$68:$AG$87,E124)+_xlfn.SUMIFS($AE$11:$AE$31,$C$11:$C$31,B124,$T$11:$T$31,E124)</f>
        <v>0</v>
      </c>
      <c r="H124" s="625">
        <f>G124-F124</f>
        <v>0</v>
      </c>
      <c r="I124" t="s" s="626">
        <v>278</v>
      </c>
      <c r="J124" s="627"/>
      <c r="K124" s="161"/>
      <c r="L124" s="161"/>
      <c r="M124" s="161"/>
      <c r="N124" s="161"/>
      <c r="O124" s="161"/>
      <c r="P124" s="161"/>
      <c r="Q124" s="161"/>
      <c r="R124" s="219"/>
      <c r="S124" s="161"/>
      <c r="T124" s="161"/>
      <c r="U124" s="161"/>
      <c r="V124" s="161"/>
      <c r="W124" s="161"/>
      <c r="X124" s="161"/>
      <c r="Y124" s="161"/>
      <c r="Z124" s="161"/>
      <c r="AA124" s="161"/>
      <c r="AB124" s="161"/>
      <c r="AC124" s="161"/>
      <c r="AD124" s="161"/>
      <c r="AE124" s="161"/>
      <c r="AF124" s="161"/>
      <c r="AG124" s="161"/>
      <c r="AH124" s="161"/>
      <c r="AI124" s="161"/>
      <c r="AJ124" s="161"/>
      <c r="AK124" s="161"/>
      <c r="AL124" s="161"/>
      <c r="AM124" s="161"/>
      <c r="AN124" s="161"/>
      <c r="AO124" s="161"/>
      <c r="AP124" s="161"/>
      <c r="AQ124" s="161"/>
      <c r="AR124" s="161"/>
      <c r="AS124" s="161"/>
      <c r="AT124" s="161"/>
      <c r="AU124" s="161"/>
      <c r="AV124" s="161"/>
      <c r="AW124" s="161"/>
      <c r="AX124" s="161"/>
      <c r="AY124" s="161"/>
      <c r="AZ124" s="161"/>
      <c r="BA124" s="161"/>
      <c r="BB124" s="161"/>
      <c r="BC124" s="161"/>
      <c r="BD124" s="161"/>
      <c r="BE124" s="161"/>
      <c r="BF124" s="161"/>
      <c r="BG124" s="161"/>
      <c r="BH124" s="161"/>
      <c r="BI124" s="161"/>
      <c r="BJ124" s="161"/>
      <c r="BK124" s="161"/>
      <c r="BL124" s="161"/>
      <c r="BM124" s="161"/>
      <c r="BN124" s="161"/>
      <c r="BO124" s="161"/>
      <c r="BP124" s="161"/>
      <c r="BQ124" s="161"/>
      <c r="BR124" s="161"/>
      <c r="BS124" s="161"/>
      <c r="BT124" s="161"/>
      <c r="BU124" s="161"/>
      <c r="BV124" s="161"/>
      <c r="BW124" s="161"/>
      <c r="BX124" s="161"/>
      <c r="BY124" s="161"/>
      <c r="BZ124" s="161"/>
      <c r="CA124" s="161"/>
      <c r="CB124" s="161"/>
      <c r="CC124" s="161"/>
      <c r="CD124" s="161"/>
      <c r="CE124" s="161"/>
      <c r="CF124" s="161"/>
      <c r="CG124" s="161"/>
      <c r="CH124" s="161"/>
      <c r="CI124" s="161"/>
      <c r="CJ124" s="161"/>
      <c r="CK124" s="161"/>
      <c r="CL124" s="161"/>
      <c r="CM124" s="161"/>
      <c r="CN124" s="161"/>
      <c r="CO124" s="161"/>
      <c r="CP124" s="161"/>
      <c r="CQ124" s="161"/>
      <c r="CR124" s="161"/>
      <c r="CS124" s="161"/>
      <c r="CT124" s="161"/>
      <c r="CU124" s="161"/>
      <c r="CV124" s="161"/>
      <c r="CW124" s="161"/>
      <c r="CX124" s="161"/>
      <c r="CY124" s="161"/>
      <c r="CZ124" s="161"/>
      <c r="DA124" s="161"/>
      <c r="DB124" s="161"/>
      <c r="DC124" s="161"/>
      <c r="DD124" s="161"/>
      <c r="DE124" s="161"/>
      <c r="DF124" s="161"/>
      <c r="DG124" s="161"/>
      <c r="DH124" s="161"/>
      <c r="DI124" s="161"/>
      <c r="DJ124" s="161"/>
      <c r="DK124" s="161"/>
      <c r="DL124" s="161"/>
      <c r="DM124" s="161"/>
      <c r="DN124" s="161"/>
      <c r="DO124" s="161"/>
      <c r="DP124" s="161"/>
      <c r="DQ124" s="161"/>
      <c r="DR124" s="161"/>
      <c r="DS124" s="161"/>
      <c r="DT124" s="161"/>
      <c r="DU124" s="161"/>
      <c r="DV124" s="161"/>
      <c r="DW124" s="161"/>
      <c r="DX124" s="161"/>
    </row>
    <row r="125" ht="15.75" customHeight="1">
      <c r="A125" s="379"/>
      <c r="B125" s="628"/>
      <c r="C125" s="629"/>
      <c r="D125" s="630"/>
      <c r="E125" t="s" s="631">
        <v>151</v>
      </c>
      <c r="F125" s="625">
        <f>_xlfn.SUMIFS($L$11:$L$30,$C$11:$C$30,$B124,$T$11:$T$30,$E125)</f>
        <v>0</v>
      </c>
      <c r="G125" s="625">
        <f>_xlfn.SUMIFS($L$40:$L$59,$C$40:$C$59,$B$124,$T$40:$T$59,$E125)+_xlfn.SUMIFS($L$68:$L$87,$C$68:$C$87,B124,$AG$68:$AG$87,E125)+_xlfn.SUMIFS($AE$11:$AE$31,$C$11:$C$31,$B$124,$T$11:$T$31,$E$125)</f>
        <v>0</v>
      </c>
      <c r="H125" s="625">
        <f>G125-F125</f>
        <v>0</v>
      </c>
      <c r="I125" t="s" s="632">
        <f>IF(F125=0,"N/A",IF(H125&lt;0,"No ▲","Yes ✓"))</f>
        <v>62</v>
      </c>
      <c r="J125" s="364">
        <f>IF(I125="No ▲",1,0)</f>
        <v>0</v>
      </c>
      <c r="K125" s="161"/>
      <c r="L125" s="161"/>
      <c r="M125" s="161"/>
      <c r="N125" s="161"/>
      <c r="O125" s="161"/>
      <c r="P125" s="161"/>
      <c r="Q125" s="161"/>
      <c r="R125" s="219"/>
      <c r="S125" s="161"/>
      <c r="T125" s="161"/>
      <c r="U125" s="161"/>
      <c r="V125" s="161"/>
      <c r="W125" s="161"/>
      <c r="X125" s="161"/>
      <c r="Y125" s="161"/>
      <c r="Z125" s="161"/>
      <c r="AA125" s="161"/>
      <c r="AB125" s="161"/>
      <c r="AC125" s="161"/>
      <c r="AD125" s="161"/>
      <c r="AE125" s="161"/>
      <c r="AF125" s="161"/>
      <c r="AG125" s="161"/>
      <c r="AH125" s="161"/>
      <c r="AI125" s="161"/>
      <c r="AJ125" s="161"/>
      <c r="AK125" s="161"/>
      <c r="AL125" s="161"/>
      <c r="AM125" s="161"/>
      <c r="AN125" s="161"/>
      <c r="AO125" s="161"/>
      <c r="AP125" s="161"/>
      <c r="AQ125" s="161"/>
      <c r="AR125" s="161"/>
      <c r="AS125" s="161"/>
      <c r="AT125" s="161"/>
      <c r="AU125" s="161"/>
      <c r="AV125" s="161"/>
      <c r="AW125" s="161"/>
      <c r="AX125" s="161"/>
      <c r="AY125" s="161"/>
      <c r="AZ125" s="161"/>
      <c r="BA125" s="161"/>
      <c r="BB125" s="161"/>
      <c r="BC125" s="161"/>
      <c r="BD125" s="161"/>
      <c r="BE125" s="161"/>
      <c r="BF125" s="161"/>
      <c r="BG125" s="161"/>
      <c r="BH125" s="161"/>
      <c r="BI125" s="161"/>
      <c r="BJ125" s="161"/>
      <c r="BK125" s="161"/>
      <c r="BL125" s="161"/>
      <c r="BM125" s="161"/>
      <c r="BN125" s="161"/>
      <c r="BO125" s="161"/>
      <c r="BP125" s="161"/>
      <c r="BQ125" s="161"/>
      <c r="BR125" s="161"/>
      <c r="BS125" s="161"/>
      <c r="BT125" s="161"/>
      <c r="BU125" s="161"/>
      <c r="BV125" s="161"/>
      <c r="BW125" s="161"/>
      <c r="BX125" s="161"/>
      <c r="BY125" s="161"/>
      <c r="BZ125" s="161"/>
      <c r="CA125" s="161"/>
      <c r="CB125" s="161"/>
      <c r="CC125" s="161"/>
      <c r="CD125" s="161"/>
      <c r="CE125" s="161"/>
      <c r="CF125" s="161"/>
      <c r="CG125" s="161"/>
      <c r="CH125" s="161"/>
      <c r="CI125" s="161"/>
      <c r="CJ125" s="161"/>
      <c r="CK125" s="161"/>
      <c r="CL125" s="161"/>
      <c r="CM125" s="161"/>
      <c r="CN125" s="161"/>
      <c r="CO125" s="161"/>
      <c r="CP125" s="161"/>
      <c r="CQ125" s="161"/>
      <c r="CR125" s="161"/>
      <c r="CS125" s="161"/>
      <c r="CT125" s="161"/>
      <c r="CU125" s="161"/>
      <c r="CV125" s="161"/>
      <c r="CW125" s="161"/>
      <c r="CX125" s="161"/>
      <c r="CY125" s="161"/>
      <c r="CZ125" s="161"/>
      <c r="DA125" s="161"/>
      <c r="DB125" s="161"/>
      <c r="DC125" s="161"/>
      <c r="DD125" s="161"/>
      <c r="DE125" s="161"/>
      <c r="DF125" s="161"/>
      <c r="DG125" s="161"/>
      <c r="DH125" s="161"/>
      <c r="DI125" s="161"/>
      <c r="DJ125" s="161"/>
      <c r="DK125" s="161"/>
      <c r="DL125" s="161"/>
      <c r="DM125" s="161"/>
      <c r="DN125" s="161"/>
      <c r="DO125" s="161"/>
      <c r="DP125" s="161"/>
      <c r="DQ125" s="161"/>
      <c r="DR125" s="161"/>
      <c r="DS125" s="161"/>
      <c r="DT125" s="161"/>
      <c r="DU125" s="161"/>
      <c r="DV125" s="161"/>
      <c r="DW125" s="161"/>
      <c r="DX125" s="161"/>
    </row>
    <row r="126" ht="15.75" customHeight="1">
      <c r="A126" s="379"/>
      <c r="B126" t="s" s="621">
        <v>284</v>
      </c>
      <c r="C126" s="622"/>
      <c r="D126" s="623"/>
      <c r="E126" t="s" s="624">
        <v>181</v>
      </c>
      <c r="F126" s="625">
        <f>_xlfn.SUMIFS($L$11:$L$30,$C$11:$C$30,$B126,$T$11:$T$30,$E126)</f>
        <v>0</v>
      </c>
      <c r="G126" s="625">
        <f>_xlfn.SUMIFS($L$40:$L$59,$C$40:$C$59,$B126,$T$40:$T$59,$E126)+_xlfn.SUMIFS($L$68:$L$87,AY68:AY87,B126,$AG$68:$AG$87,E126)+_xlfn.SUMIFS($AE$11:$AE$31,$C$11:$C$31,B126,$T$11:$T$31,E126)</f>
        <v>0</v>
      </c>
      <c r="H126" s="625">
        <f>G126-F126</f>
        <v>0</v>
      </c>
      <c r="I126" t="s" s="626">
        <v>278</v>
      </c>
      <c r="J126" s="627"/>
      <c r="K126" s="161"/>
      <c r="L126" s="161"/>
      <c r="M126" s="161"/>
      <c r="N126" s="161"/>
      <c r="O126" s="161"/>
      <c r="P126" s="161"/>
      <c r="Q126" s="161"/>
      <c r="R126" s="219"/>
      <c r="S126" s="161"/>
      <c r="T126" s="161"/>
      <c r="U126" s="161"/>
      <c r="V126" s="161"/>
      <c r="W126" s="161"/>
      <c r="X126" s="161"/>
      <c r="Y126" s="161"/>
      <c r="Z126" s="161"/>
      <c r="AA126" s="161"/>
      <c r="AB126" s="161"/>
      <c r="AC126" s="161"/>
      <c r="AD126" s="161"/>
      <c r="AE126" s="161"/>
      <c r="AF126" s="161"/>
      <c r="AG126" s="161"/>
      <c r="AH126" s="161"/>
      <c r="AI126" s="161"/>
      <c r="AJ126" s="161"/>
      <c r="AK126" s="161"/>
      <c r="AL126" s="161"/>
      <c r="AM126" s="161"/>
      <c r="AN126" s="161"/>
      <c r="AO126" s="161"/>
      <c r="AP126" s="161"/>
      <c r="AQ126" s="161"/>
      <c r="AR126" s="161"/>
      <c r="AS126" s="161"/>
      <c r="AT126" s="161"/>
      <c r="AU126" s="161"/>
      <c r="AV126" s="161"/>
      <c r="AW126" s="161"/>
      <c r="AX126" s="161"/>
      <c r="AY126" s="161"/>
      <c r="AZ126" s="161"/>
      <c r="BA126" s="161"/>
      <c r="BB126" s="161"/>
      <c r="BC126" s="161"/>
      <c r="BD126" s="161"/>
      <c r="BE126" s="161"/>
      <c r="BF126" s="161"/>
      <c r="BG126" s="161"/>
      <c r="BH126" s="161"/>
      <c r="BI126" s="161"/>
      <c r="BJ126" s="161"/>
      <c r="BK126" s="161"/>
      <c r="BL126" s="161"/>
      <c r="BM126" s="161"/>
      <c r="BN126" s="161"/>
      <c r="BO126" s="161"/>
      <c r="BP126" s="161"/>
      <c r="BQ126" s="161"/>
      <c r="BR126" s="161"/>
      <c r="BS126" s="161"/>
      <c r="BT126" s="161"/>
      <c r="BU126" s="161"/>
      <c r="BV126" s="161"/>
      <c r="BW126" s="161"/>
      <c r="BX126" s="161"/>
      <c r="BY126" s="161"/>
      <c r="BZ126" s="161"/>
      <c r="CA126" s="161"/>
      <c r="CB126" s="161"/>
      <c r="CC126" s="161"/>
      <c r="CD126" s="161"/>
      <c r="CE126" s="161"/>
      <c r="CF126" s="161"/>
      <c r="CG126" s="161"/>
      <c r="CH126" s="161"/>
      <c r="CI126" s="161"/>
      <c r="CJ126" s="161"/>
      <c r="CK126" s="161"/>
      <c r="CL126" s="161"/>
      <c r="CM126" s="161"/>
      <c r="CN126" s="161"/>
      <c r="CO126" s="161"/>
      <c r="CP126" s="161"/>
      <c r="CQ126" s="161"/>
      <c r="CR126" s="161"/>
      <c r="CS126" s="161"/>
      <c r="CT126" s="161"/>
      <c r="CU126" s="161"/>
      <c r="CV126" s="161"/>
      <c r="CW126" s="161"/>
      <c r="CX126" s="161"/>
      <c r="CY126" s="161"/>
      <c r="CZ126" s="161"/>
      <c r="DA126" s="161"/>
      <c r="DB126" s="161"/>
      <c r="DC126" s="161"/>
      <c r="DD126" s="161"/>
      <c r="DE126" s="161"/>
      <c r="DF126" s="161"/>
      <c r="DG126" s="161"/>
      <c r="DH126" s="161"/>
      <c r="DI126" s="161"/>
      <c r="DJ126" s="161"/>
      <c r="DK126" s="161"/>
      <c r="DL126" s="161"/>
      <c r="DM126" s="161"/>
      <c r="DN126" s="161"/>
      <c r="DO126" s="161"/>
      <c r="DP126" s="161"/>
      <c r="DQ126" s="161"/>
      <c r="DR126" s="161"/>
      <c r="DS126" s="161"/>
      <c r="DT126" s="161"/>
      <c r="DU126" s="161"/>
      <c r="DV126" s="161"/>
      <c r="DW126" s="161"/>
      <c r="DX126" s="161"/>
    </row>
    <row r="127" ht="15.75" customHeight="1">
      <c r="A127" s="379"/>
      <c r="B127" s="628"/>
      <c r="C127" s="629"/>
      <c r="D127" s="630"/>
      <c r="E127" t="s" s="631">
        <v>151</v>
      </c>
      <c r="F127" s="625">
        <f>_xlfn.SUMIFS($L$11:$L$30,$C$11:$C$30,$B126,$T$11:$T$30,$E127)</f>
        <v>0</v>
      </c>
      <c r="G127" s="625">
        <f>_xlfn.SUMIFS($L$40:$L$59,$C$40:$C$59,$B126,$T$40:$T$59,$E127)+_xlfn.SUMIFS($L$68:$L$87,AY68:AY87,B126,$AG$68:$AG$87,E127)+_xlfn.SUMIFS($AE$11:$AE$31,$C$11:$C$31,B126,$T$11:$T$31,E127)</f>
        <v>0</v>
      </c>
      <c r="H127" s="625">
        <f>G127-F127</f>
        <v>0</v>
      </c>
      <c r="I127" t="s" s="632">
        <f>IF(F127=0,"N/A",IF(H127&lt;0,"No ▲","Yes ✓"))</f>
        <v>62</v>
      </c>
      <c r="J127" s="364">
        <f>IF(I127="No ▲",1,0)</f>
        <v>0</v>
      </c>
      <c r="K127" s="161"/>
      <c r="L127" s="161"/>
      <c r="M127" s="161"/>
      <c r="N127" s="161"/>
      <c r="O127" s="161"/>
      <c r="P127" s="161"/>
      <c r="Q127" s="161"/>
      <c r="R127" s="219"/>
      <c r="S127" s="161"/>
      <c r="T127" s="161"/>
      <c r="U127" s="161"/>
      <c r="V127" s="161"/>
      <c r="W127" s="161"/>
      <c r="X127" s="161"/>
      <c r="Y127" s="161"/>
      <c r="Z127" s="161"/>
      <c r="AA127" s="161"/>
      <c r="AB127" s="161"/>
      <c r="AC127" s="161"/>
      <c r="AD127" s="161"/>
      <c r="AE127" s="161"/>
      <c r="AF127" s="161"/>
      <c r="AG127" s="161"/>
      <c r="AH127" s="161"/>
      <c r="AI127" s="161"/>
      <c r="AJ127" s="161"/>
      <c r="AK127" s="161"/>
      <c r="AL127" s="161"/>
      <c r="AM127" s="161"/>
      <c r="AN127" s="161"/>
      <c r="AO127" s="161"/>
      <c r="AP127" s="161"/>
      <c r="AQ127" s="161"/>
      <c r="AR127" s="161"/>
      <c r="AS127" s="161"/>
      <c r="AT127" s="161"/>
      <c r="AU127" s="161"/>
      <c r="AV127" s="161"/>
      <c r="AW127" s="161"/>
      <c r="AX127" s="161"/>
      <c r="AY127" s="161"/>
      <c r="AZ127" s="161"/>
      <c r="BA127" s="161"/>
      <c r="BB127" s="161"/>
      <c r="BC127" s="161"/>
      <c r="BD127" s="161"/>
      <c r="BE127" s="161"/>
      <c r="BF127" s="161"/>
      <c r="BG127" s="161"/>
      <c r="BH127" s="161"/>
      <c r="BI127" s="161"/>
      <c r="BJ127" s="161"/>
      <c r="BK127" s="161"/>
      <c r="BL127" s="161"/>
      <c r="BM127" s="161"/>
      <c r="BN127" s="161"/>
      <c r="BO127" s="161"/>
      <c r="BP127" s="161"/>
      <c r="BQ127" s="161"/>
      <c r="BR127" s="161"/>
      <c r="BS127" s="161"/>
      <c r="BT127" s="161"/>
      <c r="BU127" s="161"/>
      <c r="BV127" s="161"/>
      <c r="BW127" s="161"/>
      <c r="BX127" s="161"/>
      <c r="BY127" s="161"/>
      <c r="BZ127" s="161"/>
      <c r="CA127" s="161"/>
      <c r="CB127" s="161"/>
      <c r="CC127" s="161"/>
      <c r="CD127" s="161"/>
      <c r="CE127" s="161"/>
      <c r="CF127" s="161"/>
      <c r="CG127" s="161"/>
      <c r="CH127" s="161"/>
      <c r="CI127" s="161"/>
      <c r="CJ127" s="161"/>
      <c r="CK127" s="161"/>
      <c r="CL127" s="161"/>
      <c r="CM127" s="161"/>
      <c r="CN127" s="161"/>
      <c r="CO127" s="161"/>
      <c r="CP127" s="161"/>
      <c r="CQ127" s="161"/>
      <c r="CR127" s="161"/>
      <c r="CS127" s="161"/>
      <c r="CT127" s="161"/>
      <c r="CU127" s="161"/>
      <c r="CV127" s="161"/>
      <c r="CW127" s="161"/>
      <c r="CX127" s="161"/>
      <c r="CY127" s="161"/>
      <c r="CZ127" s="161"/>
      <c r="DA127" s="161"/>
      <c r="DB127" s="161"/>
      <c r="DC127" s="161"/>
      <c r="DD127" s="161"/>
      <c r="DE127" s="161"/>
      <c r="DF127" s="161"/>
      <c r="DG127" s="161"/>
      <c r="DH127" s="161"/>
      <c r="DI127" s="161"/>
      <c r="DJ127" s="161"/>
      <c r="DK127" s="161"/>
      <c r="DL127" s="161"/>
      <c r="DM127" s="161"/>
      <c r="DN127" s="161"/>
      <c r="DO127" s="161"/>
      <c r="DP127" s="161"/>
      <c r="DQ127" s="161"/>
      <c r="DR127" s="161"/>
      <c r="DS127" s="161"/>
      <c r="DT127" s="161"/>
      <c r="DU127" s="161"/>
      <c r="DV127" s="161"/>
      <c r="DW127" s="161"/>
      <c r="DX127" s="161"/>
    </row>
    <row r="128" ht="15.75" customHeight="1">
      <c r="A128" s="379"/>
      <c r="B128" t="s" s="621">
        <v>136</v>
      </c>
      <c r="C128" s="622"/>
      <c r="D128" s="623"/>
      <c r="E128" t="s" s="624">
        <v>181</v>
      </c>
      <c r="F128" s="625">
        <f>_xlfn.SUMIFS($L$11:$L$30,$C$11:$C$30,$B128,$T$11:$T$30,$E128)</f>
        <v>0</v>
      </c>
      <c r="G128" s="625">
        <f>_xlfn.SUMIFS($L$40:$L$59,$C$40:$C$59,$B128,$T$40:$T$59,$E128)+_xlfn.SUMIFS($L$68:$L$87,AY68:AY87,B128,$AG$68:$AG$87,E128)+_xlfn.SUMIFS($AE$11:$AE$31,$C$11:$C$31,B128,$T$11:$T$31,E128)</f>
        <v>0.0002375444</v>
      </c>
      <c r="H128" s="625">
        <f>G128-F128</f>
        <v>0.0002375444</v>
      </c>
      <c r="I128" t="s" s="626">
        <v>278</v>
      </c>
      <c r="J128" s="627"/>
      <c r="K128" s="161"/>
      <c r="L128" s="161"/>
      <c r="M128" s="161"/>
      <c r="N128" s="161"/>
      <c r="O128" s="161"/>
      <c r="P128" s="161"/>
      <c r="Q128" s="161"/>
      <c r="R128" s="219"/>
      <c r="S128" s="161"/>
      <c r="T128" s="161"/>
      <c r="U128" s="161"/>
      <c r="V128" s="161"/>
      <c r="W128" s="161"/>
      <c r="X128" s="161"/>
      <c r="Y128" s="161"/>
      <c r="Z128" s="161"/>
      <c r="AA128" s="161"/>
      <c r="AB128" s="161"/>
      <c r="AC128" s="161"/>
      <c r="AD128" s="161"/>
      <c r="AE128" s="161"/>
      <c r="AF128" s="161"/>
      <c r="AG128" s="161"/>
      <c r="AH128" s="161"/>
      <c r="AI128" s="161"/>
      <c r="AJ128" s="161"/>
      <c r="AK128" s="161"/>
      <c r="AL128" s="161"/>
      <c r="AM128" s="161"/>
      <c r="AN128" s="161"/>
      <c r="AO128" s="161"/>
      <c r="AP128" s="161"/>
      <c r="AQ128" s="161"/>
      <c r="AR128" s="161"/>
      <c r="AS128" s="161"/>
      <c r="AT128" s="161"/>
      <c r="AU128" s="161"/>
      <c r="AV128" s="161"/>
      <c r="AW128" s="161"/>
      <c r="AX128" s="161"/>
      <c r="AY128" s="161"/>
      <c r="AZ128" s="161"/>
      <c r="BA128" s="161"/>
      <c r="BB128" s="161"/>
      <c r="BC128" s="161"/>
      <c r="BD128" s="161"/>
      <c r="BE128" s="161"/>
      <c r="BF128" s="161"/>
      <c r="BG128" s="161"/>
      <c r="BH128" s="161"/>
      <c r="BI128" s="161"/>
      <c r="BJ128" s="161"/>
      <c r="BK128" s="161"/>
      <c r="BL128" s="161"/>
      <c r="BM128" s="161"/>
      <c r="BN128" s="161"/>
      <c r="BO128" s="161"/>
      <c r="BP128" s="161"/>
      <c r="BQ128" s="161"/>
      <c r="BR128" s="161"/>
      <c r="BS128" s="161"/>
      <c r="BT128" s="161"/>
      <c r="BU128" s="161"/>
      <c r="BV128" s="161"/>
      <c r="BW128" s="161"/>
      <c r="BX128" s="161"/>
      <c r="BY128" s="161"/>
      <c r="BZ128" s="161"/>
      <c r="CA128" s="161"/>
      <c r="CB128" s="161"/>
      <c r="CC128" s="161"/>
      <c r="CD128" s="161"/>
      <c r="CE128" s="161"/>
      <c r="CF128" s="161"/>
      <c r="CG128" s="161"/>
      <c r="CH128" s="161"/>
      <c r="CI128" s="161"/>
      <c r="CJ128" s="161"/>
      <c r="CK128" s="161"/>
      <c r="CL128" s="161"/>
      <c r="CM128" s="161"/>
      <c r="CN128" s="161"/>
      <c r="CO128" s="161"/>
      <c r="CP128" s="161"/>
      <c r="CQ128" s="161"/>
      <c r="CR128" s="161"/>
      <c r="CS128" s="161"/>
      <c r="CT128" s="161"/>
      <c r="CU128" s="161"/>
      <c r="CV128" s="161"/>
      <c r="CW128" s="161"/>
      <c r="CX128" s="161"/>
      <c r="CY128" s="161"/>
      <c r="CZ128" s="161"/>
      <c r="DA128" s="161"/>
      <c r="DB128" s="161"/>
      <c r="DC128" s="161"/>
      <c r="DD128" s="161"/>
      <c r="DE128" s="161"/>
      <c r="DF128" s="161"/>
      <c r="DG128" s="161"/>
      <c r="DH128" s="161"/>
      <c r="DI128" s="161"/>
      <c r="DJ128" s="161"/>
      <c r="DK128" s="161"/>
      <c r="DL128" s="161"/>
      <c r="DM128" s="161"/>
      <c r="DN128" s="161"/>
      <c r="DO128" s="161"/>
      <c r="DP128" s="161"/>
      <c r="DQ128" s="161"/>
      <c r="DR128" s="161"/>
      <c r="DS128" s="161"/>
      <c r="DT128" s="161"/>
      <c r="DU128" s="161"/>
      <c r="DV128" s="161"/>
      <c r="DW128" s="161"/>
      <c r="DX128" s="161"/>
    </row>
    <row r="129" ht="15.75" customHeight="1">
      <c r="A129" s="379"/>
      <c r="B129" s="628"/>
      <c r="C129" s="629"/>
      <c r="D129" s="630"/>
      <c r="E129" t="s" s="631">
        <v>151</v>
      </c>
      <c r="F129" s="625">
        <f>_xlfn.SUMIFS($L$11:$L$30,$C$11:$C$30,$B128,$T$11:$T$30,$E129)</f>
        <v>0</v>
      </c>
      <c r="G129" s="625">
        <f>_xlfn.SUMIFS($L$40:$L$59,$C$40:$C$59,$B128,$T$40:$T$59,$E129)+_xlfn.SUMIFS($L$68:$L$87,AY68:AY87,B128,$AG$68:$AG$87,E129)+_xlfn.SUMIFS($AE$11:$AE$31,$C$11:$C$31,B128,$T$11:$T$31,E129)</f>
        <v>0</v>
      </c>
      <c r="H129" s="625">
        <f>G129-F129</f>
        <v>0</v>
      </c>
      <c r="I129" t="s" s="632">
        <f>IF(F129=0,"N/A",IF(H129&lt;0,"No ▲","Yes ✓"))</f>
        <v>62</v>
      </c>
      <c r="J129" s="364">
        <f>IF(I129="No ▲",1,0)</f>
        <v>0</v>
      </c>
      <c r="K129" s="161"/>
      <c r="L129" s="161"/>
      <c r="M129" s="161"/>
      <c r="N129" s="161"/>
      <c r="O129" s="161"/>
      <c r="P129" s="161"/>
      <c r="Q129" s="161"/>
      <c r="R129" s="219"/>
      <c r="S129" s="161"/>
      <c r="T129" s="161"/>
      <c r="U129" s="161"/>
      <c r="V129" s="161"/>
      <c r="W129" s="161"/>
      <c r="X129" s="161"/>
      <c r="Y129" s="161"/>
      <c r="Z129" s="161"/>
      <c r="AA129" s="161"/>
      <c r="AB129" s="161"/>
      <c r="AC129" s="161"/>
      <c r="AD129" s="161"/>
      <c r="AE129" s="161"/>
      <c r="AF129" s="161"/>
      <c r="AG129" s="161"/>
      <c r="AH129" s="161"/>
      <c r="AI129" s="161"/>
      <c r="AJ129" s="161"/>
      <c r="AK129" s="161"/>
      <c r="AL129" s="161"/>
      <c r="AM129" s="161"/>
      <c r="AN129" s="161"/>
      <c r="AO129" s="161"/>
      <c r="AP129" s="161"/>
      <c r="AQ129" s="161"/>
      <c r="AR129" s="161"/>
      <c r="AS129" s="161"/>
      <c r="AT129" s="161"/>
      <c r="AU129" s="161"/>
      <c r="AV129" s="161"/>
      <c r="AW129" s="161"/>
      <c r="AX129" s="161"/>
      <c r="AY129" s="161"/>
      <c r="AZ129" s="161"/>
      <c r="BA129" s="161"/>
      <c r="BB129" s="161"/>
      <c r="BC129" s="161"/>
      <c r="BD129" s="161"/>
      <c r="BE129" s="161"/>
      <c r="BF129" s="161"/>
      <c r="BG129" s="161"/>
      <c r="BH129" s="161"/>
      <c r="BI129" s="161"/>
      <c r="BJ129" s="161"/>
      <c r="BK129" s="161"/>
      <c r="BL129" s="161"/>
      <c r="BM129" s="161"/>
      <c r="BN129" s="161"/>
      <c r="BO129" s="161"/>
      <c r="BP129" s="161"/>
      <c r="BQ129" s="161"/>
      <c r="BR129" s="161"/>
      <c r="BS129" s="161"/>
      <c r="BT129" s="161"/>
      <c r="BU129" s="161"/>
      <c r="BV129" s="161"/>
      <c r="BW129" s="161"/>
      <c r="BX129" s="161"/>
      <c r="BY129" s="161"/>
      <c r="BZ129" s="161"/>
      <c r="CA129" s="161"/>
      <c r="CB129" s="161"/>
      <c r="CC129" s="161"/>
      <c r="CD129" s="161"/>
      <c r="CE129" s="161"/>
      <c r="CF129" s="161"/>
      <c r="CG129" s="161"/>
      <c r="CH129" s="161"/>
      <c r="CI129" s="161"/>
      <c r="CJ129" s="161"/>
      <c r="CK129" s="161"/>
      <c r="CL129" s="161"/>
      <c r="CM129" s="161"/>
      <c r="CN129" s="161"/>
      <c r="CO129" s="161"/>
      <c r="CP129" s="161"/>
      <c r="CQ129" s="161"/>
      <c r="CR129" s="161"/>
      <c r="CS129" s="161"/>
      <c r="CT129" s="161"/>
      <c r="CU129" s="161"/>
      <c r="CV129" s="161"/>
      <c r="CW129" s="161"/>
      <c r="CX129" s="161"/>
      <c r="CY129" s="161"/>
      <c r="CZ129" s="161"/>
      <c r="DA129" s="161"/>
      <c r="DB129" s="161"/>
      <c r="DC129" s="161"/>
      <c r="DD129" s="161"/>
      <c r="DE129" s="161"/>
      <c r="DF129" s="161"/>
      <c r="DG129" s="161"/>
      <c r="DH129" s="161"/>
      <c r="DI129" s="161"/>
      <c r="DJ129" s="161"/>
      <c r="DK129" s="161"/>
      <c r="DL129" s="161"/>
      <c r="DM129" s="161"/>
      <c r="DN129" s="161"/>
      <c r="DO129" s="161"/>
      <c r="DP129" s="161"/>
      <c r="DQ129" s="161"/>
      <c r="DR129" s="161"/>
      <c r="DS129" s="161"/>
      <c r="DT129" s="161"/>
      <c r="DU129" s="161"/>
      <c r="DV129" s="161"/>
      <c r="DW129" s="161"/>
      <c r="DX129" s="161"/>
    </row>
    <row r="130" ht="15.75" customHeight="1">
      <c r="A130" s="379"/>
      <c r="B130" t="s" s="621">
        <v>285</v>
      </c>
      <c r="C130" s="622"/>
      <c r="D130" s="623"/>
      <c r="E130" t="s" s="624">
        <v>181</v>
      </c>
      <c r="F130" s="625">
        <f>_xlfn.SUMIFS($L$11:$L$30,$C$11:$C$30,$B130,$T$11:$T$30,$E130)</f>
        <v>0</v>
      </c>
      <c r="G130" s="625">
        <f>_xlfn.SUMIFS($L$40:$L$59,$C$40:$C$59,$B130,$T$40:$T$59,$E130)+_xlfn.SUMIFS($L$68:$L$87,$C$68:$C$87,B130,$AG$68:$AG$87,E130)+_xlfn.SUMIFS($AE$11:$AE$31,$C$11:$C$31,B130,$T$11:$T$31,E130)</f>
        <v>0</v>
      </c>
      <c r="H130" s="625">
        <f>G130-F130</f>
        <v>0</v>
      </c>
      <c r="I130" t="s" s="626">
        <v>278</v>
      </c>
      <c r="J130" s="627"/>
      <c r="K130" s="161"/>
      <c r="L130" s="161"/>
      <c r="M130" s="161"/>
      <c r="N130" s="161"/>
      <c r="O130" s="161"/>
      <c r="P130" s="161"/>
      <c r="Q130" s="161"/>
      <c r="R130" s="219"/>
      <c r="S130" s="161"/>
      <c r="T130" s="161"/>
      <c r="U130" s="161"/>
      <c r="V130" s="161"/>
      <c r="W130" s="161"/>
      <c r="X130" s="161"/>
      <c r="Y130" s="161"/>
      <c r="Z130" s="161"/>
      <c r="AA130" s="161"/>
      <c r="AB130" s="161"/>
      <c r="AC130" s="161"/>
      <c r="AD130" s="161"/>
      <c r="AE130" s="161"/>
      <c r="AF130" s="161"/>
      <c r="AG130" s="161"/>
      <c r="AH130" s="161"/>
      <c r="AI130" s="161"/>
      <c r="AJ130" s="161"/>
      <c r="AK130" s="161"/>
      <c r="AL130" s="161"/>
      <c r="AM130" s="161"/>
      <c r="AN130" s="161"/>
      <c r="AO130" s="161"/>
      <c r="AP130" s="161"/>
      <c r="AQ130" s="161"/>
      <c r="AR130" s="161"/>
      <c r="AS130" s="161"/>
      <c r="AT130" s="161"/>
      <c r="AU130" s="161"/>
      <c r="AV130" s="161"/>
      <c r="AW130" s="161"/>
      <c r="AX130" s="161"/>
      <c r="AY130" s="161"/>
      <c r="AZ130" s="161"/>
      <c r="BA130" s="161"/>
      <c r="BB130" s="161"/>
      <c r="BC130" s="161"/>
      <c r="BD130" s="161"/>
      <c r="BE130" s="161"/>
      <c r="BF130" s="161"/>
      <c r="BG130" s="161"/>
      <c r="BH130" s="161"/>
      <c r="BI130" s="161"/>
      <c r="BJ130" s="161"/>
      <c r="BK130" s="161"/>
      <c r="BL130" s="161"/>
      <c r="BM130" s="161"/>
      <c r="BN130" s="161"/>
      <c r="BO130" s="161"/>
      <c r="BP130" s="161"/>
      <c r="BQ130" s="161"/>
      <c r="BR130" s="161"/>
      <c r="BS130" s="161"/>
      <c r="BT130" s="161"/>
      <c r="BU130" s="161"/>
      <c r="BV130" s="161"/>
      <c r="BW130" s="161"/>
      <c r="BX130" s="161"/>
      <c r="BY130" s="161"/>
      <c r="BZ130" s="161"/>
      <c r="CA130" s="161"/>
      <c r="CB130" s="161"/>
      <c r="CC130" s="161"/>
      <c r="CD130" s="161"/>
      <c r="CE130" s="161"/>
      <c r="CF130" s="161"/>
      <c r="CG130" s="161"/>
      <c r="CH130" s="161"/>
      <c r="CI130" s="161"/>
      <c r="CJ130" s="161"/>
      <c r="CK130" s="161"/>
      <c r="CL130" s="161"/>
      <c r="CM130" s="161"/>
      <c r="CN130" s="161"/>
      <c r="CO130" s="161"/>
      <c r="CP130" s="161"/>
      <c r="CQ130" s="161"/>
      <c r="CR130" s="161"/>
      <c r="CS130" s="161"/>
      <c r="CT130" s="161"/>
      <c r="CU130" s="161"/>
      <c r="CV130" s="161"/>
      <c r="CW130" s="161"/>
      <c r="CX130" s="161"/>
      <c r="CY130" s="161"/>
      <c r="CZ130" s="161"/>
      <c r="DA130" s="161"/>
      <c r="DB130" s="161"/>
      <c r="DC130" s="161"/>
      <c r="DD130" s="161"/>
      <c r="DE130" s="161"/>
      <c r="DF130" s="161"/>
      <c r="DG130" s="161"/>
      <c r="DH130" s="161"/>
      <c r="DI130" s="161"/>
      <c r="DJ130" s="161"/>
      <c r="DK130" s="161"/>
      <c r="DL130" s="161"/>
      <c r="DM130" s="161"/>
      <c r="DN130" s="161"/>
      <c r="DO130" s="161"/>
      <c r="DP130" s="161"/>
      <c r="DQ130" s="161"/>
      <c r="DR130" s="161"/>
      <c r="DS130" s="161"/>
      <c r="DT130" s="161"/>
      <c r="DU130" s="161"/>
      <c r="DV130" s="161"/>
      <c r="DW130" s="161"/>
      <c r="DX130" s="161"/>
    </row>
    <row r="131" ht="15.75" customHeight="1">
      <c r="A131" s="379"/>
      <c r="B131" s="628"/>
      <c r="C131" s="629"/>
      <c r="D131" s="630"/>
      <c r="E131" t="s" s="631">
        <v>151</v>
      </c>
      <c r="F131" s="625">
        <f>_xlfn.SUMIFS($L$11:$L$30,$C$11:$C$30,$B130,$T$11:$T$30,$E131)</f>
        <v>0</v>
      </c>
      <c r="G131" s="625">
        <f>_xlfn.SUMIFS($L$40:$L$59,$C$40:$C$59,$B130,$T$40:$T$59,$E131)+_xlfn.SUMIFS($L$68:$L$87,$C$68:$C$87,B130,$AG$68:$AG$87,E131)+_xlfn.SUMIFS($AE$11:$AE$31,$C$11:$C$31,B130,$T$11:$T$31,E131)</f>
        <v>0</v>
      </c>
      <c r="H131" s="625">
        <f>G131-F131</f>
        <v>0</v>
      </c>
      <c r="I131" t="s" s="632">
        <f>IF(F131=0,"N/A",IF(H131&lt;0,"No ▲","Yes ✓"))</f>
        <v>62</v>
      </c>
      <c r="J131" s="364">
        <f>IF(I131="No ▲",1,0)</f>
        <v>0</v>
      </c>
      <c r="K131" s="161"/>
      <c r="L131" s="161"/>
      <c r="M131" s="161"/>
      <c r="N131" s="161"/>
      <c r="O131" s="161"/>
      <c r="P131" s="161"/>
      <c r="Q131" s="161"/>
      <c r="R131" s="219"/>
      <c r="S131" s="161"/>
      <c r="T131" s="161"/>
      <c r="U131" s="161"/>
      <c r="V131" s="161"/>
      <c r="W131" s="161"/>
      <c r="X131" s="161"/>
      <c r="Y131" s="161"/>
      <c r="Z131" s="161"/>
      <c r="AA131" s="161"/>
      <c r="AB131" s="161"/>
      <c r="AC131" s="161"/>
      <c r="AD131" s="161"/>
      <c r="AE131" s="161"/>
      <c r="AF131" s="161"/>
      <c r="AG131" s="161"/>
      <c r="AH131" s="161"/>
      <c r="AI131" s="161"/>
      <c r="AJ131" s="161"/>
      <c r="AK131" s="161"/>
      <c r="AL131" s="161"/>
      <c r="AM131" s="161"/>
      <c r="AN131" s="161"/>
      <c r="AO131" s="161"/>
      <c r="AP131" s="161"/>
      <c r="AQ131" s="161"/>
      <c r="AR131" s="161"/>
      <c r="AS131" s="161"/>
      <c r="AT131" s="161"/>
      <c r="AU131" s="161"/>
      <c r="AV131" s="161"/>
      <c r="AW131" s="161"/>
      <c r="AX131" s="161"/>
      <c r="AY131" s="161"/>
      <c r="AZ131" s="161"/>
      <c r="BA131" s="161"/>
      <c r="BB131" s="161"/>
      <c r="BC131" s="161"/>
      <c r="BD131" s="161"/>
      <c r="BE131" s="161"/>
      <c r="BF131" s="161"/>
      <c r="BG131" s="161"/>
      <c r="BH131" s="161"/>
      <c r="BI131" s="161"/>
      <c r="BJ131" s="161"/>
      <c r="BK131" s="161"/>
      <c r="BL131" s="161"/>
      <c r="BM131" s="161"/>
      <c r="BN131" s="161"/>
      <c r="BO131" s="161"/>
      <c r="BP131" s="161"/>
      <c r="BQ131" s="161"/>
      <c r="BR131" s="161"/>
      <c r="BS131" s="161"/>
      <c r="BT131" s="161"/>
      <c r="BU131" s="161"/>
      <c r="BV131" s="161"/>
      <c r="BW131" s="161"/>
      <c r="BX131" s="161"/>
      <c r="BY131" s="161"/>
      <c r="BZ131" s="161"/>
      <c r="CA131" s="161"/>
      <c r="CB131" s="161"/>
      <c r="CC131" s="161"/>
      <c r="CD131" s="161"/>
      <c r="CE131" s="161"/>
      <c r="CF131" s="161"/>
      <c r="CG131" s="161"/>
      <c r="CH131" s="161"/>
      <c r="CI131" s="161"/>
      <c r="CJ131" s="161"/>
      <c r="CK131" s="161"/>
      <c r="CL131" s="161"/>
      <c r="CM131" s="161"/>
      <c r="CN131" s="161"/>
      <c r="CO131" s="161"/>
      <c r="CP131" s="161"/>
      <c r="CQ131" s="161"/>
      <c r="CR131" s="161"/>
      <c r="CS131" s="161"/>
      <c r="CT131" s="161"/>
      <c r="CU131" s="161"/>
      <c r="CV131" s="161"/>
      <c r="CW131" s="161"/>
      <c r="CX131" s="161"/>
      <c r="CY131" s="161"/>
      <c r="CZ131" s="161"/>
      <c r="DA131" s="161"/>
      <c r="DB131" s="161"/>
      <c r="DC131" s="161"/>
      <c r="DD131" s="161"/>
      <c r="DE131" s="161"/>
      <c r="DF131" s="161"/>
      <c r="DG131" s="161"/>
      <c r="DH131" s="161"/>
      <c r="DI131" s="161"/>
      <c r="DJ131" s="161"/>
      <c r="DK131" s="161"/>
      <c r="DL131" s="161"/>
      <c r="DM131" s="161"/>
      <c r="DN131" s="161"/>
      <c r="DO131" s="161"/>
      <c r="DP131" s="161"/>
      <c r="DQ131" s="161"/>
      <c r="DR131" s="161"/>
      <c r="DS131" s="161"/>
      <c r="DT131" s="161"/>
      <c r="DU131" s="161"/>
      <c r="DV131" s="161"/>
      <c r="DW131" s="161"/>
      <c r="DX131" s="161"/>
    </row>
    <row r="132" ht="15.75" customHeight="1">
      <c r="A132" s="379"/>
      <c r="B132" t="s" s="621">
        <v>286</v>
      </c>
      <c r="C132" s="622"/>
      <c r="D132" s="623"/>
      <c r="E132" t="s" s="624">
        <v>181</v>
      </c>
      <c r="F132" s="625">
        <f>_xlfn.SUMIFS($L$11:$L$30,$C$11:$C$30,$B132,$T$11:$T$30,$E132)</f>
        <v>0</v>
      </c>
      <c r="G132" s="625">
        <f>_xlfn.SUMIFS($L$40:$L$59,$C$40:$C$59,$B132,$T$40:$T$59,$E132)+_xlfn.SUMIFS($L$68:$L$87,$C$68:$C$87,B132,$AG$68:$AG$87,E132)+_xlfn.SUMIFS($AE$11:$AE$31,$C$11:$C$31,B132,$T$11:$T$31,E132)</f>
        <v>0</v>
      </c>
      <c r="H132" s="625">
        <f>G132-F132</f>
        <v>0</v>
      </c>
      <c r="I132" t="s" s="626">
        <v>278</v>
      </c>
      <c r="J132" s="627"/>
      <c r="K132" s="161"/>
      <c r="L132" s="161"/>
      <c r="M132" s="161"/>
      <c r="N132" s="161"/>
      <c r="O132" s="161"/>
      <c r="P132" s="161"/>
      <c r="Q132" s="161"/>
      <c r="R132" s="219"/>
      <c r="S132" s="161"/>
      <c r="T132" s="161"/>
      <c r="U132" s="161"/>
      <c r="V132" s="161"/>
      <c r="W132" s="161"/>
      <c r="X132" s="161"/>
      <c r="Y132" s="161"/>
      <c r="Z132" s="161"/>
      <c r="AA132" s="161"/>
      <c r="AB132" s="161"/>
      <c r="AC132" s="161"/>
      <c r="AD132" s="161"/>
      <c r="AE132" s="161"/>
      <c r="AF132" s="161"/>
      <c r="AG132" s="161"/>
      <c r="AH132" s="161"/>
      <c r="AI132" s="161"/>
      <c r="AJ132" s="161"/>
      <c r="AK132" s="161"/>
      <c r="AL132" s="161"/>
      <c r="AM132" s="161"/>
      <c r="AN132" s="161"/>
      <c r="AO132" s="161"/>
      <c r="AP132" s="161"/>
      <c r="AQ132" s="161"/>
      <c r="AR132" s="161"/>
      <c r="AS132" s="161"/>
      <c r="AT132" s="161"/>
      <c r="AU132" s="161"/>
      <c r="AV132" s="161"/>
      <c r="AW132" s="161"/>
      <c r="AX132" s="161"/>
      <c r="AY132" s="161"/>
      <c r="AZ132" s="161"/>
      <c r="BA132" s="161"/>
      <c r="BB132" s="161"/>
      <c r="BC132" s="161"/>
      <c r="BD132" s="161"/>
      <c r="BE132" s="161"/>
      <c r="BF132" s="161"/>
      <c r="BG132" s="161"/>
      <c r="BH132" s="161"/>
      <c r="BI132" s="161"/>
      <c r="BJ132" s="161"/>
      <c r="BK132" s="161"/>
      <c r="BL132" s="161"/>
      <c r="BM132" s="161"/>
      <c r="BN132" s="161"/>
      <c r="BO132" s="161"/>
      <c r="BP132" s="161"/>
      <c r="BQ132" s="161"/>
      <c r="BR132" s="161"/>
      <c r="BS132" s="161"/>
      <c r="BT132" s="161"/>
      <c r="BU132" s="161"/>
      <c r="BV132" s="161"/>
      <c r="BW132" s="161"/>
      <c r="BX132" s="161"/>
      <c r="BY132" s="161"/>
      <c r="BZ132" s="161"/>
      <c r="CA132" s="161"/>
      <c r="CB132" s="161"/>
      <c r="CC132" s="161"/>
      <c r="CD132" s="161"/>
      <c r="CE132" s="161"/>
      <c r="CF132" s="161"/>
      <c r="CG132" s="161"/>
      <c r="CH132" s="161"/>
      <c r="CI132" s="161"/>
      <c r="CJ132" s="161"/>
      <c r="CK132" s="161"/>
      <c r="CL132" s="161"/>
      <c r="CM132" s="161"/>
      <c r="CN132" s="161"/>
      <c r="CO132" s="161"/>
      <c r="CP132" s="161"/>
      <c r="CQ132" s="161"/>
      <c r="CR132" s="161"/>
      <c r="CS132" s="161"/>
      <c r="CT132" s="161"/>
      <c r="CU132" s="161"/>
      <c r="CV132" s="161"/>
      <c r="CW132" s="161"/>
      <c r="CX132" s="161"/>
      <c r="CY132" s="161"/>
      <c r="CZ132" s="161"/>
      <c r="DA132" s="161"/>
      <c r="DB132" s="161"/>
      <c r="DC132" s="161"/>
      <c r="DD132" s="161"/>
      <c r="DE132" s="161"/>
      <c r="DF132" s="161"/>
      <c r="DG132" s="161"/>
      <c r="DH132" s="161"/>
      <c r="DI132" s="161"/>
      <c r="DJ132" s="161"/>
      <c r="DK132" s="161"/>
      <c r="DL132" s="161"/>
      <c r="DM132" s="161"/>
      <c r="DN132" s="161"/>
      <c r="DO132" s="161"/>
      <c r="DP132" s="161"/>
      <c r="DQ132" s="161"/>
      <c r="DR132" s="161"/>
      <c r="DS132" s="161"/>
      <c r="DT132" s="161"/>
      <c r="DU132" s="161"/>
      <c r="DV132" s="161"/>
      <c r="DW132" s="161"/>
      <c r="DX132" s="161"/>
    </row>
    <row r="133" ht="15.75" customHeight="1">
      <c r="A133" s="379"/>
      <c r="B133" s="628"/>
      <c r="C133" s="629"/>
      <c r="D133" s="630"/>
      <c r="E133" t="s" s="631">
        <v>151</v>
      </c>
      <c r="F133" s="625">
        <f>_xlfn.SUMIFS($L$11:$L$30,$C$11:$C$30,$B132,$T$11:$T$30,$E133)</f>
        <v>0</v>
      </c>
      <c r="G133" s="625">
        <f>_xlfn.SUMIFS($L$40:$L$59,$C$40:$C$59,$B132,$T$40:$T$59,$E133)+_xlfn.SUMIFS($L$68:$L$87,$C$68:$C$87,B132,$AG$68:$AG$87,E133)+_xlfn.SUMIFS($AE$11:$AE$31,$C$11:$C$31,B132,$T$11:$T$31,E133)</f>
        <v>0</v>
      </c>
      <c r="H133" s="625">
        <f>G133-F133</f>
        <v>0</v>
      </c>
      <c r="I133" t="s" s="632">
        <f>IF(F133=0,"N/A",IF(H133&lt;0,"No ▲","Yes ✓"))</f>
        <v>62</v>
      </c>
      <c r="J133" s="364">
        <f>IF(I133="No ▲",1,0)</f>
        <v>0</v>
      </c>
      <c r="K133" s="161"/>
      <c r="L133" s="161"/>
      <c r="M133" s="161"/>
      <c r="N133" s="161"/>
      <c r="O133" s="161"/>
      <c r="P133" s="161"/>
      <c r="Q133" s="161"/>
      <c r="R133" s="219"/>
      <c r="S133" s="161"/>
      <c r="T133" s="161"/>
      <c r="U133" s="161"/>
      <c r="V133" s="161"/>
      <c r="W133" s="161"/>
      <c r="X133" s="161"/>
      <c r="Y133" s="161"/>
      <c r="Z133" s="161"/>
      <c r="AA133" s="161"/>
      <c r="AB133" s="161"/>
      <c r="AC133" s="161"/>
      <c r="AD133" s="161"/>
      <c r="AE133" s="161"/>
      <c r="AF133" s="161"/>
      <c r="AG133" s="161"/>
      <c r="AH133" s="161"/>
      <c r="AI133" s="161"/>
      <c r="AJ133" s="161"/>
      <c r="AK133" s="161"/>
      <c r="AL133" s="161"/>
      <c r="AM133" s="161"/>
      <c r="AN133" s="161"/>
      <c r="AO133" s="161"/>
      <c r="AP133" s="161"/>
      <c r="AQ133" s="161"/>
      <c r="AR133" s="161"/>
      <c r="AS133" s="161"/>
      <c r="AT133" s="161"/>
      <c r="AU133" s="161"/>
      <c r="AV133" s="161"/>
      <c r="AW133" s="161"/>
      <c r="AX133" s="161"/>
      <c r="AY133" s="161"/>
      <c r="AZ133" s="161"/>
      <c r="BA133" s="161"/>
      <c r="BB133" s="161"/>
      <c r="BC133" s="161"/>
      <c r="BD133" s="161"/>
      <c r="BE133" s="161"/>
      <c r="BF133" s="161"/>
      <c r="BG133" s="161"/>
      <c r="BH133" s="161"/>
      <c r="BI133" s="161"/>
      <c r="BJ133" s="161"/>
      <c r="BK133" s="161"/>
      <c r="BL133" s="161"/>
      <c r="BM133" s="161"/>
      <c r="BN133" s="161"/>
      <c r="BO133" s="161"/>
      <c r="BP133" s="161"/>
      <c r="BQ133" s="161"/>
      <c r="BR133" s="161"/>
      <c r="BS133" s="161"/>
      <c r="BT133" s="161"/>
      <c r="BU133" s="161"/>
      <c r="BV133" s="161"/>
      <c r="BW133" s="161"/>
      <c r="BX133" s="161"/>
      <c r="BY133" s="161"/>
      <c r="BZ133" s="161"/>
      <c r="CA133" s="161"/>
      <c r="CB133" s="161"/>
      <c r="CC133" s="161"/>
      <c r="CD133" s="161"/>
      <c r="CE133" s="161"/>
      <c r="CF133" s="161"/>
      <c r="CG133" s="161"/>
      <c r="CH133" s="161"/>
      <c r="CI133" s="161"/>
      <c r="CJ133" s="161"/>
      <c r="CK133" s="161"/>
      <c r="CL133" s="161"/>
      <c r="CM133" s="161"/>
      <c r="CN133" s="161"/>
      <c r="CO133" s="161"/>
      <c r="CP133" s="161"/>
      <c r="CQ133" s="161"/>
      <c r="CR133" s="161"/>
      <c r="CS133" s="161"/>
      <c r="CT133" s="161"/>
      <c r="CU133" s="161"/>
      <c r="CV133" s="161"/>
      <c r="CW133" s="161"/>
      <c r="CX133" s="161"/>
      <c r="CY133" s="161"/>
      <c r="CZ133" s="161"/>
      <c r="DA133" s="161"/>
      <c r="DB133" s="161"/>
      <c r="DC133" s="161"/>
      <c r="DD133" s="161"/>
      <c r="DE133" s="161"/>
      <c r="DF133" s="161"/>
      <c r="DG133" s="161"/>
      <c r="DH133" s="161"/>
      <c r="DI133" s="161"/>
      <c r="DJ133" s="161"/>
      <c r="DK133" s="161"/>
      <c r="DL133" s="161"/>
      <c r="DM133" s="161"/>
      <c r="DN133" s="161"/>
      <c r="DO133" s="161"/>
      <c r="DP133" s="161"/>
      <c r="DQ133" s="161"/>
      <c r="DR133" s="161"/>
      <c r="DS133" s="161"/>
      <c r="DT133" s="161"/>
      <c r="DU133" s="161"/>
      <c r="DV133" s="161"/>
      <c r="DW133" s="161"/>
      <c r="DX133" s="161"/>
    </row>
    <row r="134" ht="15.75" customHeight="1">
      <c r="A134" s="379"/>
      <c r="B134" t="s" s="621">
        <v>148</v>
      </c>
      <c r="C134" s="622"/>
      <c r="D134" s="623"/>
      <c r="E134" t="s" s="624">
        <v>181</v>
      </c>
      <c r="F134" s="625">
        <f>_xlfn.SUMIFS($L$11:$L$31,$C$11:$C$31,$B134,$T$11:$T$31,$E134)</f>
        <v>0</v>
      </c>
      <c r="G134" s="625">
        <f>_xlfn.SUMIFS($L$40:$L$60,$C$40:$C$60,$B134,$T$40:$T$60,$E134)+_xlfn.SUMIFS($L$68:$L$88,$C$68:$C$88,B134,$AG$68:$AG$88,E134)+_xlfn.SUMIFS($AE$11:$AE$31,$C$11:$C$31,B134,$T$11:$T$31,E134)</f>
        <v>0</v>
      </c>
      <c r="H134" s="625">
        <f>G134-F134</f>
        <v>0</v>
      </c>
      <c r="I134" t="s" s="626">
        <v>278</v>
      </c>
      <c r="J134" s="627"/>
      <c r="K134" s="161"/>
      <c r="L134" s="161"/>
      <c r="M134" s="161"/>
      <c r="N134" s="161"/>
      <c r="O134" s="161"/>
      <c r="P134" s="161"/>
      <c r="Q134" s="161"/>
      <c r="R134" s="219"/>
      <c r="S134" s="161"/>
      <c r="T134" s="161"/>
      <c r="U134" s="161"/>
      <c r="V134" s="161"/>
      <c r="W134" s="161"/>
      <c r="X134" s="161"/>
      <c r="Y134" s="161"/>
      <c r="Z134" s="161"/>
      <c r="AA134" s="161"/>
      <c r="AB134" s="161"/>
      <c r="AC134" s="161"/>
      <c r="AD134" s="161"/>
      <c r="AE134" s="161"/>
      <c r="AF134" s="161"/>
      <c r="AG134" s="161"/>
      <c r="AH134" s="161"/>
      <c r="AI134" s="161"/>
      <c r="AJ134" s="161"/>
      <c r="AK134" s="161"/>
      <c r="AL134" s="161"/>
      <c r="AM134" s="161"/>
      <c r="AN134" s="161"/>
      <c r="AO134" s="161"/>
      <c r="AP134" s="161"/>
      <c r="AQ134" s="161"/>
      <c r="AR134" s="161"/>
      <c r="AS134" s="161"/>
      <c r="AT134" s="161"/>
      <c r="AU134" s="161"/>
      <c r="AV134" s="161"/>
      <c r="AW134" s="161"/>
      <c r="AX134" s="161"/>
      <c r="AY134" s="161"/>
      <c r="AZ134" s="161"/>
      <c r="BA134" s="161"/>
      <c r="BB134" s="161"/>
      <c r="BC134" s="161"/>
      <c r="BD134" s="161"/>
      <c r="BE134" s="161"/>
      <c r="BF134" s="161"/>
      <c r="BG134" s="161"/>
      <c r="BH134" s="161"/>
      <c r="BI134" s="161"/>
      <c r="BJ134" s="161"/>
      <c r="BK134" s="161"/>
      <c r="BL134" s="161"/>
      <c r="BM134" s="161"/>
      <c r="BN134" s="161"/>
      <c r="BO134" s="161"/>
      <c r="BP134" s="161"/>
      <c r="BQ134" s="161"/>
      <c r="BR134" s="161"/>
      <c r="BS134" s="161"/>
      <c r="BT134" s="161"/>
      <c r="BU134" s="161"/>
      <c r="BV134" s="161"/>
      <c r="BW134" s="161"/>
      <c r="BX134" s="161"/>
      <c r="BY134" s="161"/>
      <c r="BZ134" s="161"/>
      <c r="CA134" s="161"/>
      <c r="CB134" s="161"/>
      <c r="CC134" s="161"/>
      <c r="CD134" s="161"/>
      <c r="CE134" s="161"/>
      <c r="CF134" s="161"/>
      <c r="CG134" s="161"/>
      <c r="CH134" s="161"/>
      <c r="CI134" s="161"/>
      <c r="CJ134" s="161"/>
      <c r="CK134" s="161"/>
      <c r="CL134" s="161"/>
      <c r="CM134" s="161"/>
      <c r="CN134" s="161"/>
      <c r="CO134" s="161"/>
      <c r="CP134" s="161"/>
      <c r="CQ134" s="161"/>
      <c r="CR134" s="161"/>
      <c r="CS134" s="161"/>
      <c r="CT134" s="161"/>
      <c r="CU134" s="161"/>
      <c r="CV134" s="161"/>
      <c r="CW134" s="161"/>
      <c r="CX134" s="161"/>
      <c r="CY134" s="161"/>
      <c r="CZ134" s="161"/>
      <c r="DA134" s="161"/>
      <c r="DB134" s="161"/>
      <c r="DC134" s="161"/>
      <c r="DD134" s="161"/>
      <c r="DE134" s="161"/>
      <c r="DF134" s="161"/>
      <c r="DG134" s="161"/>
      <c r="DH134" s="161"/>
      <c r="DI134" s="161"/>
      <c r="DJ134" s="161"/>
      <c r="DK134" s="161"/>
      <c r="DL134" s="161"/>
      <c r="DM134" s="161"/>
      <c r="DN134" s="161"/>
      <c r="DO134" s="161"/>
      <c r="DP134" s="161"/>
      <c r="DQ134" s="161"/>
      <c r="DR134" s="161"/>
      <c r="DS134" s="161"/>
      <c r="DT134" s="161"/>
      <c r="DU134" s="161"/>
      <c r="DV134" s="161"/>
      <c r="DW134" s="161"/>
      <c r="DX134" s="161"/>
    </row>
    <row r="135" ht="23.25" customHeight="1">
      <c r="A135" s="379"/>
      <c r="B135" s="633"/>
      <c r="C135" s="634"/>
      <c r="D135" s="635"/>
      <c r="E135" t="s" s="636">
        <v>151</v>
      </c>
      <c r="F135" s="637">
        <f>_xlfn.SUMIFS($L$11:$L$31,$C$11:$C$31,$B134,$T$11:$T$31,$E135)</f>
        <v>0</v>
      </c>
      <c r="G135" s="637">
        <f>_xlfn.SUMIFS($L$40:$L$60,$C$40:$C$60,$B134,$T$40:$T$60,$E135)+_xlfn.SUMIFS($L$68:$L$88,$C$68:$C$88,B134,$AG$68:$AG$88,E135)+_xlfn.SUMIFS($AE$11:$AE$31,$C$11:$C$31,B134,$T$11:$T$31,E135)</f>
        <v>0</v>
      </c>
      <c r="H135" s="637">
        <f>G135-F135</f>
        <v>0</v>
      </c>
      <c r="I135" t="s" s="638">
        <f>IF(F135=0,"N/A",IF(H135&lt;0,"No ▲","Yes ✓"))</f>
        <v>62</v>
      </c>
      <c r="J135" s="364">
        <f>IF(I135="No ▲",1,0)</f>
        <v>0</v>
      </c>
      <c r="K135" s="161"/>
      <c r="L135" s="161"/>
      <c r="M135" s="161"/>
      <c r="N135" s="161"/>
      <c r="O135" s="161"/>
      <c r="P135" s="161"/>
      <c r="Q135" s="161"/>
      <c r="R135" s="219"/>
      <c r="S135" s="161"/>
      <c r="T135" s="161"/>
      <c r="U135" s="161"/>
      <c r="V135" s="161"/>
      <c r="W135" s="161"/>
      <c r="X135" s="161"/>
      <c r="Y135" s="161"/>
      <c r="Z135" s="161"/>
      <c r="AA135" s="161"/>
      <c r="AB135" s="161"/>
      <c r="AC135" s="161"/>
      <c r="AD135" s="161"/>
      <c r="AE135" s="161"/>
      <c r="AF135" s="161"/>
      <c r="AG135" s="161"/>
      <c r="AH135" s="161"/>
      <c r="AI135" s="161"/>
      <c r="AJ135" s="161"/>
      <c r="AK135" s="161"/>
      <c r="AL135" s="161"/>
      <c r="AM135" s="161"/>
      <c r="AN135" s="161"/>
      <c r="AO135" s="161"/>
      <c r="AP135" s="161"/>
      <c r="AQ135" s="161"/>
      <c r="AR135" s="161"/>
      <c r="AS135" s="161"/>
      <c r="AT135" s="161"/>
      <c r="AU135" s="161"/>
      <c r="AV135" s="161"/>
      <c r="AW135" s="161"/>
      <c r="AX135" s="161"/>
      <c r="AY135" s="161"/>
      <c r="AZ135" s="161"/>
      <c r="BA135" s="161"/>
      <c r="BB135" s="161"/>
      <c r="BC135" s="161"/>
      <c r="BD135" s="161"/>
      <c r="BE135" s="161"/>
      <c r="BF135" s="161"/>
      <c r="BG135" s="161"/>
      <c r="BH135" s="161"/>
      <c r="BI135" s="161"/>
      <c r="BJ135" s="161"/>
      <c r="BK135" s="161"/>
      <c r="BL135" s="161"/>
      <c r="BM135" s="161"/>
      <c r="BN135" s="161"/>
      <c r="BO135" s="161"/>
      <c r="BP135" s="161"/>
      <c r="BQ135" s="161"/>
      <c r="BR135" s="161"/>
      <c r="BS135" s="161"/>
      <c r="BT135" s="161"/>
      <c r="BU135" s="161"/>
      <c r="BV135" s="161"/>
      <c r="BW135" s="161"/>
      <c r="BX135" s="161"/>
      <c r="BY135" s="161"/>
      <c r="BZ135" s="161"/>
      <c r="CA135" s="161"/>
      <c r="CB135" s="161"/>
      <c r="CC135" s="161"/>
      <c r="CD135" s="161"/>
      <c r="CE135" s="161"/>
      <c r="CF135" s="161"/>
      <c r="CG135" s="161"/>
      <c r="CH135" s="161"/>
      <c r="CI135" s="161"/>
      <c r="CJ135" s="161"/>
      <c r="CK135" s="161"/>
      <c r="CL135" s="161"/>
      <c r="CM135" s="161"/>
      <c r="CN135" s="161"/>
      <c r="CO135" s="161"/>
      <c r="CP135" s="161"/>
      <c r="CQ135" s="161"/>
      <c r="CR135" s="161"/>
      <c r="CS135" s="161"/>
      <c r="CT135" s="161"/>
      <c r="CU135" s="161"/>
      <c r="CV135" s="161"/>
      <c r="CW135" s="161"/>
      <c r="CX135" s="161"/>
      <c r="CY135" s="161"/>
      <c r="CZ135" s="161"/>
      <c r="DA135" s="161"/>
      <c r="DB135" s="161"/>
      <c r="DC135" s="161"/>
      <c r="DD135" s="161"/>
      <c r="DE135" s="161"/>
      <c r="DF135" s="161"/>
      <c r="DG135" s="161"/>
      <c r="DH135" s="161"/>
      <c r="DI135" s="161"/>
      <c r="DJ135" s="161"/>
      <c r="DK135" s="161"/>
      <c r="DL135" s="161"/>
      <c r="DM135" s="161"/>
      <c r="DN135" s="161"/>
      <c r="DO135" s="161"/>
      <c r="DP135" s="161"/>
      <c r="DQ135" s="161"/>
      <c r="DR135" s="161"/>
      <c r="DS135" s="161"/>
      <c r="DT135" s="161"/>
      <c r="DU135" s="161"/>
      <c r="DV135" s="161"/>
      <c r="DW135" s="161"/>
      <c r="DX135" s="161"/>
    </row>
    <row r="136" ht="15.75" customHeight="1">
      <c r="A136" s="347"/>
      <c r="B136" s="639"/>
      <c r="C136" s="639"/>
      <c r="D136" s="639"/>
      <c r="E136" s="639"/>
      <c r="F136" s="639"/>
      <c r="G136" s="639"/>
      <c r="H136" s="639"/>
      <c r="I136" s="639"/>
      <c r="J136" s="640"/>
      <c r="K136" s="161"/>
      <c r="L136" s="161"/>
      <c r="M136" s="460"/>
      <c r="N136" s="161"/>
      <c r="O136" s="161"/>
      <c r="P136" s="161"/>
      <c r="Q136" s="161"/>
      <c r="R136" s="219"/>
      <c r="S136" s="161"/>
      <c r="T136" s="161"/>
      <c r="U136" s="161"/>
      <c r="V136" s="161"/>
      <c r="W136" s="161"/>
      <c r="X136" s="161"/>
      <c r="Y136" s="161"/>
      <c r="Z136" s="161"/>
      <c r="AA136" s="161"/>
      <c r="AB136" s="161"/>
      <c r="AC136" s="161"/>
      <c r="AD136" s="161"/>
      <c r="AE136" s="161"/>
      <c r="AF136" s="161"/>
      <c r="AG136" s="161"/>
      <c r="AH136" s="161"/>
      <c r="AI136" s="161"/>
      <c r="AJ136" s="161"/>
      <c r="AK136" s="161"/>
      <c r="AL136" s="161"/>
      <c r="AM136" s="161"/>
      <c r="AN136" s="161"/>
      <c r="AO136" s="161"/>
      <c r="AP136" s="161"/>
      <c r="AQ136" s="161"/>
      <c r="AR136" s="161"/>
      <c r="AS136" s="161"/>
      <c r="AT136" s="161"/>
      <c r="AU136" s="161"/>
      <c r="AV136" s="161"/>
      <c r="AW136" s="161"/>
      <c r="AX136" s="161"/>
      <c r="AY136" s="161"/>
      <c r="AZ136" s="161"/>
      <c r="BA136" s="161"/>
      <c r="BB136" s="161"/>
      <c r="BC136" s="161"/>
      <c r="BD136" s="161"/>
      <c r="BE136" s="161"/>
      <c r="BF136" s="161"/>
      <c r="BG136" s="161"/>
      <c r="BH136" s="161"/>
      <c r="BI136" s="161"/>
      <c r="BJ136" s="161"/>
      <c r="BK136" s="161"/>
      <c r="BL136" s="161"/>
      <c r="BM136" s="161"/>
      <c r="BN136" s="161"/>
      <c r="BO136" s="161"/>
      <c r="BP136" s="161"/>
      <c r="BQ136" s="161"/>
      <c r="BR136" s="161"/>
      <c r="BS136" s="161"/>
      <c r="BT136" s="161"/>
      <c r="BU136" s="161"/>
      <c r="BV136" s="161"/>
      <c r="BW136" s="161"/>
      <c r="BX136" s="161"/>
      <c r="BY136" s="161"/>
      <c r="BZ136" s="161"/>
      <c r="CA136" s="161"/>
      <c r="CB136" s="161"/>
      <c r="CC136" s="161"/>
      <c r="CD136" s="161"/>
      <c r="CE136" s="161"/>
      <c r="CF136" s="161"/>
      <c r="CG136" s="161"/>
      <c r="CH136" s="161"/>
      <c r="CI136" s="161"/>
      <c r="CJ136" s="161"/>
      <c r="CK136" s="161"/>
      <c r="CL136" s="161"/>
      <c r="CM136" s="161"/>
      <c r="CN136" s="161"/>
      <c r="CO136" s="161"/>
      <c r="CP136" s="161"/>
      <c r="CQ136" s="161"/>
      <c r="CR136" s="161"/>
      <c r="CS136" s="161"/>
      <c r="CT136" s="161"/>
      <c r="CU136" s="161"/>
      <c r="CV136" s="161"/>
      <c r="CW136" s="161"/>
      <c r="CX136" s="161"/>
      <c r="CY136" s="161"/>
      <c r="CZ136" s="161"/>
      <c r="DA136" s="161"/>
      <c r="DB136" s="161"/>
      <c r="DC136" s="161"/>
      <c r="DD136" s="161"/>
      <c r="DE136" s="161"/>
      <c r="DF136" s="161"/>
      <c r="DG136" s="161"/>
      <c r="DH136" s="161"/>
      <c r="DI136" s="161"/>
      <c r="DJ136" s="161"/>
      <c r="DK136" s="161"/>
      <c r="DL136" s="161"/>
      <c r="DM136" s="161"/>
      <c r="DN136" s="161"/>
      <c r="DO136" s="161"/>
      <c r="DP136" s="161"/>
      <c r="DQ136" s="161"/>
      <c r="DR136" s="161"/>
      <c r="DS136" s="161"/>
      <c r="DT136" s="161"/>
      <c r="DU136" s="161"/>
      <c r="DV136" s="161"/>
      <c r="DW136" s="161"/>
      <c r="DX136" s="161"/>
    </row>
    <row r="137" ht="36.95" customHeight="1">
      <c r="A137" s="379"/>
      <c r="B137" t="s" s="605">
        <v>272</v>
      </c>
      <c r="C137" s="606"/>
      <c r="D137" s="606"/>
      <c r="E137" s="607"/>
      <c r="F137" t="s" s="618">
        <v>273</v>
      </c>
      <c r="G137" t="s" s="618">
        <v>274</v>
      </c>
      <c r="H137" t="s" s="618">
        <v>275</v>
      </c>
      <c r="I137" t="s" s="619">
        <v>276</v>
      </c>
      <c r="J137" s="627"/>
      <c r="K137" s="161"/>
      <c r="L137" s="161"/>
      <c r="M137" s="460"/>
      <c r="N137" s="161"/>
      <c r="O137" s="161"/>
      <c r="P137" s="161"/>
      <c r="Q137" s="161"/>
      <c r="R137" s="219"/>
      <c r="S137" s="161"/>
      <c r="T137" s="161"/>
      <c r="U137" s="161"/>
      <c r="V137" s="161"/>
      <c r="W137" s="161"/>
      <c r="X137" s="161"/>
      <c r="Y137" s="161"/>
      <c r="Z137" s="161"/>
      <c r="AA137" s="161"/>
      <c r="AB137" s="161"/>
      <c r="AC137" s="161"/>
      <c r="AD137" s="161"/>
      <c r="AE137" s="161"/>
      <c r="AF137" s="161"/>
      <c r="AG137" s="161"/>
      <c r="AH137" s="161"/>
      <c r="AI137" s="161"/>
      <c r="AJ137" s="161"/>
      <c r="AK137" s="161"/>
      <c r="AL137" s="161"/>
      <c r="AM137" s="161"/>
      <c r="AN137" s="161"/>
      <c r="AO137" s="161"/>
      <c r="AP137" s="161"/>
      <c r="AQ137" s="161"/>
      <c r="AR137" s="161"/>
      <c r="AS137" s="161"/>
      <c r="AT137" s="161"/>
      <c r="AU137" s="161"/>
      <c r="AV137" s="161"/>
      <c r="AW137" s="161"/>
      <c r="AX137" s="161"/>
      <c r="AY137" s="161"/>
      <c r="AZ137" s="161"/>
      <c r="BA137" s="161"/>
      <c r="BB137" s="161"/>
      <c r="BC137" s="161"/>
      <c r="BD137" s="161"/>
      <c r="BE137" s="161"/>
      <c r="BF137" s="161"/>
      <c r="BG137" s="161"/>
      <c r="BH137" s="161"/>
      <c r="BI137" s="161"/>
      <c r="BJ137" s="161"/>
      <c r="BK137" s="161"/>
      <c r="BL137" s="161"/>
      <c r="BM137" s="161"/>
      <c r="BN137" s="161"/>
      <c r="BO137" s="161"/>
      <c r="BP137" s="161"/>
      <c r="BQ137" s="161"/>
      <c r="BR137" s="161"/>
      <c r="BS137" s="161"/>
      <c r="BT137" s="161"/>
      <c r="BU137" s="161"/>
      <c r="BV137" s="161"/>
      <c r="BW137" s="161"/>
      <c r="BX137" s="161"/>
      <c r="BY137" s="161"/>
      <c r="BZ137" s="161"/>
      <c r="CA137" s="161"/>
      <c r="CB137" s="161"/>
      <c r="CC137" s="161"/>
      <c r="CD137" s="161"/>
      <c r="CE137" s="161"/>
      <c r="CF137" s="161"/>
      <c r="CG137" s="161"/>
      <c r="CH137" s="161"/>
      <c r="CI137" s="161"/>
      <c r="CJ137" s="161"/>
      <c r="CK137" s="161"/>
      <c r="CL137" s="161"/>
      <c r="CM137" s="161"/>
      <c r="CN137" s="161"/>
      <c r="CO137" s="161"/>
      <c r="CP137" s="161"/>
      <c r="CQ137" s="161"/>
      <c r="CR137" s="161"/>
      <c r="CS137" s="161"/>
      <c r="CT137" s="161"/>
      <c r="CU137" s="161"/>
      <c r="CV137" s="161"/>
      <c r="CW137" s="161"/>
      <c r="CX137" s="161"/>
      <c r="CY137" s="161"/>
      <c r="CZ137" s="161"/>
      <c r="DA137" s="161"/>
      <c r="DB137" s="161"/>
      <c r="DC137" s="161"/>
      <c r="DD137" s="161"/>
      <c r="DE137" s="161"/>
      <c r="DF137" s="161"/>
      <c r="DG137" s="161"/>
      <c r="DH137" s="161"/>
      <c r="DI137" s="161"/>
      <c r="DJ137" s="161"/>
      <c r="DK137" s="161"/>
      <c r="DL137" s="161"/>
      <c r="DM137" s="161"/>
      <c r="DN137" s="161"/>
      <c r="DO137" s="161"/>
      <c r="DP137" s="161"/>
      <c r="DQ137" s="161"/>
      <c r="DR137" s="161"/>
      <c r="DS137" s="161"/>
      <c r="DT137" s="161"/>
      <c r="DU137" s="161"/>
      <c r="DV137" s="161"/>
      <c r="DW137" s="161"/>
      <c r="DX137" s="161"/>
    </row>
    <row r="138" ht="30.75" customHeight="1">
      <c r="A138" s="379"/>
      <c r="B138" t="s" s="641">
        <v>287</v>
      </c>
      <c r="C138" s="642"/>
      <c r="D138" s="642"/>
      <c r="E138" s="643"/>
      <c r="F138" s="625">
        <f>_xlfn.SUMIFS($L$11:$L$31,$T$11:$T$31,"Medium")</f>
        <v>0</v>
      </c>
      <c r="G138" s="644">
        <f>IF(L61+L89+P1=0,0,_xlfn.SUMIFS($L$40:$L$60,$T$40:$T$60,"Medium")+_xlfn.SUMIFS($L$68:$L$87,$AG$68:$AG$87,"Medium")+_xlfn.SUMIFS($AE$11:$AE$31,$T$11:$T$31,"Medium"))</f>
        <v>0</v>
      </c>
      <c r="H138" s="625">
        <f>_xlfn.IFERROR(G138-F138,"")</f>
        <v>0</v>
      </c>
      <c r="I138" t="s" s="645">
        <f>IF(G138="","",IF(H138&gt;=0,"Yes ✓","No ▲"))</f>
        <v>288</v>
      </c>
      <c r="J138" s="364">
        <f>IF(I138="No ▲",1,0)</f>
        <v>0</v>
      </c>
      <c r="K138" s="161"/>
      <c r="L138" s="161"/>
      <c r="M138" s="161"/>
      <c r="N138" s="161"/>
      <c r="O138" s="161"/>
      <c r="P138" s="161"/>
      <c r="Q138" s="161"/>
      <c r="R138" t="s" s="373">
        <v>99</v>
      </c>
      <c r="S138" s="161"/>
      <c r="T138" s="161"/>
      <c r="U138" s="161"/>
      <c r="V138" s="161"/>
      <c r="W138" s="161"/>
      <c r="X138" s="161"/>
      <c r="Y138" s="161"/>
      <c r="Z138" s="161"/>
      <c r="AA138" s="161"/>
      <c r="AB138" s="161"/>
      <c r="AC138" s="161"/>
      <c r="AD138" s="161"/>
      <c r="AE138" s="161"/>
      <c r="AF138" s="161"/>
      <c r="AG138" s="161"/>
      <c r="AH138" s="161"/>
      <c r="AI138" s="161"/>
      <c r="AJ138" s="161"/>
      <c r="AK138" s="161"/>
      <c r="AL138" s="161"/>
      <c r="AM138" s="161"/>
      <c r="AN138" s="161"/>
      <c r="AO138" s="161"/>
      <c r="AP138" s="161"/>
      <c r="AQ138" s="161"/>
      <c r="AR138" s="161"/>
      <c r="AS138" s="161"/>
      <c r="AT138" s="161"/>
      <c r="AU138" s="161"/>
      <c r="AV138" s="161"/>
      <c r="AW138" s="161"/>
      <c r="AX138" s="161"/>
      <c r="AY138" s="161"/>
      <c r="AZ138" s="161"/>
      <c r="BA138" s="161"/>
      <c r="BB138" s="161"/>
      <c r="BC138" s="161"/>
      <c r="BD138" s="161"/>
      <c r="BE138" s="161"/>
      <c r="BF138" s="161"/>
      <c r="BG138" s="161"/>
      <c r="BH138" s="161"/>
      <c r="BI138" s="161"/>
      <c r="BJ138" s="161"/>
      <c r="BK138" s="161"/>
      <c r="BL138" s="161"/>
      <c r="BM138" s="161"/>
      <c r="BN138" s="161"/>
      <c r="BO138" s="161"/>
      <c r="BP138" s="161"/>
      <c r="BQ138" s="161"/>
      <c r="BR138" s="161"/>
      <c r="BS138" s="161"/>
      <c r="BT138" s="161"/>
      <c r="BU138" s="161"/>
      <c r="BV138" s="161"/>
      <c r="BW138" s="161"/>
      <c r="BX138" s="161"/>
      <c r="BY138" s="161"/>
      <c r="BZ138" s="161"/>
      <c r="CA138" s="161"/>
      <c r="CB138" s="161"/>
      <c r="CC138" s="161"/>
      <c r="CD138" s="161"/>
      <c r="CE138" s="161"/>
      <c r="CF138" s="161"/>
      <c r="CG138" s="161"/>
      <c r="CH138" s="161"/>
      <c r="CI138" s="161"/>
      <c r="CJ138" s="161"/>
      <c r="CK138" s="161"/>
      <c r="CL138" s="161"/>
      <c r="CM138" s="161"/>
      <c r="CN138" s="161"/>
      <c r="CO138" s="161"/>
      <c r="CP138" s="161"/>
      <c r="CQ138" s="161"/>
      <c r="CR138" s="161"/>
      <c r="CS138" s="161"/>
      <c r="CT138" s="161"/>
      <c r="CU138" s="161"/>
      <c r="CV138" s="161"/>
      <c r="CW138" s="161"/>
      <c r="CX138" s="161"/>
      <c r="CY138" s="161"/>
      <c r="CZ138" s="161"/>
      <c r="DA138" s="161"/>
      <c r="DB138" s="161"/>
      <c r="DC138" s="161"/>
      <c r="DD138" s="161"/>
      <c r="DE138" s="161"/>
      <c r="DF138" s="161"/>
      <c r="DG138" s="161"/>
      <c r="DH138" s="161"/>
      <c r="DI138" s="161"/>
      <c r="DJ138" s="161"/>
      <c r="DK138" s="161"/>
      <c r="DL138" s="161"/>
      <c r="DM138" s="161"/>
      <c r="DN138" s="161"/>
      <c r="DO138" s="161"/>
      <c r="DP138" s="161"/>
      <c r="DQ138" s="161"/>
      <c r="DR138" s="161"/>
      <c r="DS138" s="161"/>
      <c r="DT138" s="161"/>
      <c r="DU138" s="161"/>
      <c r="DV138" s="161"/>
      <c r="DW138" s="161"/>
      <c r="DX138" s="161"/>
    </row>
    <row r="139" ht="30.75" customHeight="1">
      <c r="A139" s="379"/>
      <c r="B139" t="s" s="641">
        <v>289</v>
      </c>
      <c r="C139" s="642"/>
      <c r="D139" s="642"/>
      <c r="E139" s="643"/>
      <c r="F139" s="625">
        <f>_xlfn.SUMIFS($L$11:$L$31,$T$11:$T$31,"Low")</f>
        <v>0</v>
      </c>
      <c r="G139" s="644">
        <f>IF(L61+L89+P1=0,0,_xlfn.SUMIFS($L$40:$L$60,$T$40:$T$60,"Low")+_xlfn.SUMIFS($L$68:$L$88,$AG$68:$AG$88,"Low")+_xlfn.SUMIFS($AE$11:$AE$31,$T$11:$T$31,"Low"))</f>
        <v>0.0002375444</v>
      </c>
      <c r="H139" s="625">
        <f>_xlfn.IFERROR(G139-F139,"")</f>
        <v>0.0002375444</v>
      </c>
      <c r="I139" t="s" s="645">
        <f>IF($I$142&gt;=0,"Yes ✓","No ▲")</f>
        <v>288</v>
      </c>
      <c r="J139" s="364">
        <f>IF(I139="No ▲",1,0)</f>
        <v>0</v>
      </c>
      <c r="K139" s="161"/>
      <c r="L139" s="161"/>
      <c r="M139" s="161"/>
      <c r="N139" s="161"/>
      <c r="O139" s="161"/>
      <c r="P139" s="161"/>
      <c r="Q139" s="161"/>
      <c r="R139" s="219"/>
      <c r="S139" s="161"/>
      <c r="T139" s="161"/>
      <c r="U139" s="161"/>
      <c r="V139" s="161"/>
      <c r="W139" s="161"/>
      <c r="X139" s="161"/>
      <c r="Y139" s="161"/>
      <c r="Z139" s="161"/>
      <c r="AA139" s="161"/>
      <c r="AB139" s="161"/>
      <c r="AC139" s="161"/>
      <c r="AD139" s="161"/>
      <c r="AE139" s="161"/>
      <c r="AF139" s="161"/>
      <c r="AG139" s="161"/>
      <c r="AH139" s="161"/>
      <c r="AI139" s="161"/>
      <c r="AJ139" s="161"/>
      <c r="AK139" s="161"/>
      <c r="AL139" s="161"/>
      <c r="AM139" s="161"/>
      <c r="AN139" s="161"/>
      <c r="AO139" s="161"/>
      <c r="AP139" s="161"/>
      <c r="AQ139" s="161"/>
      <c r="AR139" s="161"/>
      <c r="AS139" s="161"/>
      <c r="AT139" s="161"/>
      <c r="AU139" s="161"/>
      <c r="AV139" s="161"/>
      <c r="AW139" s="161"/>
      <c r="AX139" s="161"/>
      <c r="AY139" s="161"/>
      <c r="AZ139" s="161"/>
      <c r="BA139" s="161"/>
      <c r="BB139" s="161"/>
      <c r="BC139" s="161"/>
      <c r="BD139" s="161"/>
      <c r="BE139" s="161"/>
      <c r="BF139" s="161"/>
      <c r="BG139" s="161"/>
      <c r="BH139" s="161"/>
      <c r="BI139" s="161"/>
      <c r="BJ139" s="161"/>
      <c r="BK139" s="161"/>
      <c r="BL139" s="161"/>
      <c r="BM139" s="161"/>
      <c r="BN139" s="161"/>
      <c r="BO139" s="161"/>
      <c r="BP139" s="161"/>
      <c r="BQ139" s="161"/>
      <c r="BR139" s="161"/>
      <c r="BS139" s="161"/>
      <c r="BT139" s="161"/>
      <c r="BU139" s="161"/>
      <c r="BV139" s="161"/>
      <c r="BW139" s="161"/>
      <c r="BX139" s="161"/>
      <c r="BY139" s="161"/>
      <c r="BZ139" s="161"/>
      <c r="CA139" s="161"/>
      <c r="CB139" s="161"/>
      <c r="CC139" s="161"/>
      <c r="CD139" s="161"/>
      <c r="CE139" s="161"/>
      <c r="CF139" s="161"/>
      <c r="CG139" s="161"/>
      <c r="CH139" s="161"/>
      <c r="CI139" s="161"/>
      <c r="CJ139" s="161"/>
      <c r="CK139" s="161"/>
      <c r="CL139" s="161"/>
      <c r="CM139" s="161"/>
      <c r="CN139" s="161"/>
      <c r="CO139" s="161"/>
      <c r="CP139" s="161"/>
      <c r="CQ139" s="161"/>
      <c r="CR139" s="161"/>
      <c r="CS139" s="161"/>
      <c r="CT139" s="161"/>
      <c r="CU139" s="161"/>
      <c r="CV139" s="161"/>
      <c r="CW139" s="161"/>
      <c r="CX139" s="161"/>
      <c r="CY139" s="161"/>
      <c r="CZ139" s="161"/>
      <c r="DA139" s="161"/>
      <c r="DB139" s="161"/>
      <c r="DC139" s="161"/>
      <c r="DD139" s="161"/>
      <c r="DE139" s="161"/>
      <c r="DF139" s="161"/>
      <c r="DG139" s="161"/>
      <c r="DH139" s="161"/>
      <c r="DI139" s="161"/>
      <c r="DJ139" s="161"/>
      <c r="DK139" s="161"/>
      <c r="DL139" s="161"/>
      <c r="DM139" s="161"/>
      <c r="DN139" s="161"/>
      <c r="DO139" s="161"/>
      <c r="DP139" s="161"/>
      <c r="DQ139" s="161"/>
      <c r="DR139" s="161"/>
      <c r="DS139" s="161"/>
      <c r="DT139" s="161"/>
      <c r="DU139" s="161"/>
      <c r="DV139" s="161"/>
      <c r="DW139" s="161"/>
      <c r="DX139" s="161"/>
    </row>
    <row r="140" ht="41.25" customHeight="1">
      <c r="A140" s="379"/>
      <c r="B140" t="s" s="646">
        <v>290</v>
      </c>
      <c r="C140" s="647"/>
      <c r="D140" s="647"/>
      <c r="E140" s="648"/>
      <c r="F140" s="649">
        <f>_xlfn.IFERROR(H138+H139,"")</f>
        <v>0.0002375444</v>
      </c>
      <c r="G140" s="650"/>
      <c r="H140" s="651"/>
      <c r="I140" t="s" s="652">
        <f>IF(F140="","",IF(F140&gt;=0,"Yes ✓","No ▲"))</f>
        <v>288</v>
      </c>
      <c r="J140" s="364">
        <f>IF(I140="No ▲",1,0)</f>
        <v>0</v>
      </c>
      <c r="K140" s="161"/>
      <c r="L140" s="161"/>
      <c r="M140" s="161"/>
      <c r="N140" s="161"/>
      <c r="O140" s="161"/>
      <c r="P140" s="161"/>
      <c r="Q140" s="161"/>
      <c r="R140" s="219"/>
      <c r="S140" s="161"/>
      <c r="T140" s="161"/>
      <c r="U140" s="161"/>
      <c r="V140" s="161"/>
      <c r="W140" s="161"/>
      <c r="X140" s="161"/>
      <c r="Y140" s="161"/>
      <c r="Z140" s="161"/>
      <c r="AA140" s="161"/>
      <c r="AB140" s="161"/>
      <c r="AC140" s="161"/>
      <c r="AD140" s="161"/>
      <c r="AE140" s="161"/>
      <c r="AF140" s="161"/>
      <c r="AG140" s="161"/>
      <c r="AH140" s="161"/>
      <c r="AI140" s="161"/>
      <c r="AJ140" s="161"/>
      <c r="AK140" s="161"/>
      <c r="AL140" s="161"/>
      <c r="AM140" s="161"/>
      <c r="AN140" s="161"/>
      <c r="AO140" s="161"/>
      <c r="AP140" s="161"/>
      <c r="AQ140" s="161"/>
      <c r="AR140" s="161"/>
      <c r="AS140" s="161"/>
      <c r="AT140" s="161"/>
      <c r="AU140" s="161"/>
      <c r="AV140" s="161"/>
      <c r="AW140" s="161"/>
      <c r="AX140" s="161"/>
      <c r="AY140" s="161"/>
      <c r="AZ140" s="161"/>
      <c r="BA140" s="161"/>
      <c r="BB140" s="161"/>
      <c r="BC140" s="161"/>
      <c r="BD140" s="161"/>
      <c r="BE140" s="161"/>
      <c r="BF140" s="161"/>
      <c r="BG140" s="161"/>
      <c r="BH140" s="161"/>
      <c r="BI140" s="161"/>
      <c r="BJ140" s="161"/>
      <c r="BK140" s="161"/>
      <c r="BL140" s="161"/>
      <c r="BM140" s="161"/>
      <c r="BN140" s="161"/>
      <c r="BO140" s="161"/>
      <c r="BP140" s="161"/>
      <c r="BQ140" s="161"/>
      <c r="BR140" s="161"/>
      <c r="BS140" s="161"/>
      <c r="BT140" s="161"/>
      <c r="BU140" s="161"/>
      <c r="BV140" s="161"/>
      <c r="BW140" s="161"/>
      <c r="BX140" s="161"/>
      <c r="BY140" s="161"/>
      <c r="BZ140" s="161"/>
      <c r="CA140" s="161"/>
      <c r="CB140" s="161"/>
      <c r="CC140" s="161"/>
      <c r="CD140" s="161"/>
      <c r="CE140" s="161"/>
      <c r="CF140" s="161"/>
      <c r="CG140" s="161"/>
      <c r="CH140" s="161"/>
      <c r="CI140" s="161"/>
      <c r="CJ140" s="161"/>
      <c r="CK140" s="161"/>
      <c r="CL140" s="161"/>
      <c r="CM140" s="161"/>
      <c r="CN140" s="161"/>
      <c r="CO140" s="161"/>
      <c r="CP140" s="161"/>
      <c r="CQ140" s="161"/>
      <c r="CR140" s="161"/>
      <c r="CS140" s="161"/>
      <c r="CT140" s="161"/>
      <c r="CU140" s="161"/>
      <c r="CV140" s="161"/>
      <c r="CW140" s="161"/>
      <c r="CX140" s="161"/>
      <c r="CY140" s="161"/>
      <c r="CZ140" s="161"/>
      <c r="DA140" s="161"/>
      <c r="DB140" s="161"/>
      <c r="DC140" s="161"/>
      <c r="DD140" s="161"/>
      <c r="DE140" s="161"/>
      <c r="DF140" s="161"/>
      <c r="DG140" s="161"/>
      <c r="DH140" s="161"/>
      <c r="DI140" s="161"/>
      <c r="DJ140" s="161"/>
      <c r="DK140" s="161"/>
      <c r="DL140" s="161"/>
      <c r="DM140" s="161"/>
      <c r="DN140" s="161"/>
      <c r="DO140" s="161"/>
      <c r="DP140" s="161"/>
      <c r="DQ140" s="161"/>
      <c r="DR140" s="161"/>
      <c r="DS140" s="161"/>
      <c r="DT140" s="161"/>
      <c r="DU140" s="161"/>
      <c r="DV140" s="161"/>
      <c r="DW140" s="161"/>
      <c r="DX140" s="161"/>
    </row>
    <row r="141" ht="14.05" customHeight="1">
      <c r="A141" s="347"/>
      <c r="B141" s="348"/>
      <c r="C141" s="348"/>
      <c r="D141" s="348"/>
      <c r="E141" s="348"/>
      <c r="F141" s="348"/>
      <c r="G141" s="348"/>
      <c r="H141" s="348"/>
      <c r="I141" s="348"/>
      <c r="J141" s="161"/>
      <c r="K141" s="161"/>
      <c r="L141" s="161"/>
      <c r="M141" s="161"/>
      <c r="N141" s="161"/>
      <c r="O141" s="161"/>
      <c r="P141" s="161"/>
      <c r="Q141" s="161"/>
      <c r="R141" s="219"/>
      <c r="S141" s="161"/>
      <c r="T141" s="161"/>
      <c r="U141" s="161"/>
      <c r="V141" s="161"/>
      <c r="W141" s="161"/>
      <c r="X141" s="161"/>
      <c r="Y141" s="161"/>
      <c r="Z141" s="161"/>
      <c r="AA141" s="161"/>
      <c r="AB141" s="161"/>
      <c r="AC141" s="161"/>
      <c r="AD141" s="161"/>
      <c r="AE141" s="161"/>
      <c r="AF141" s="161"/>
      <c r="AG141" s="161"/>
      <c r="AH141" s="161"/>
      <c r="AI141" s="161"/>
      <c r="AJ141" s="161"/>
      <c r="AK141" s="161"/>
      <c r="AL141" s="161"/>
      <c r="AM141" s="161"/>
      <c r="AN141" s="161"/>
      <c r="AO141" s="161"/>
      <c r="AP141" s="161"/>
      <c r="AQ141" s="161"/>
      <c r="AR141" s="161"/>
      <c r="AS141" s="161"/>
      <c r="AT141" s="161"/>
      <c r="AU141" s="161"/>
      <c r="AV141" s="161"/>
      <c r="AW141" s="161"/>
      <c r="AX141" s="161"/>
      <c r="AY141" s="161"/>
      <c r="AZ141" s="161"/>
      <c r="BA141" s="161"/>
      <c r="BB141" s="161"/>
      <c r="BC141" s="161"/>
      <c r="BD141" s="161"/>
      <c r="BE141" s="161"/>
      <c r="BF141" s="161"/>
      <c r="BG141" s="161"/>
      <c r="BH141" s="161"/>
      <c r="BI141" s="161"/>
      <c r="BJ141" s="161"/>
      <c r="BK141" s="161"/>
      <c r="BL141" s="161"/>
      <c r="BM141" s="161"/>
      <c r="BN141" s="161"/>
      <c r="BO141" s="161"/>
      <c r="BP141" s="161"/>
      <c r="BQ141" s="161"/>
      <c r="BR141" s="161"/>
      <c r="BS141" s="161"/>
      <c r="BT141" s="161"/>
      <c r="BU141" s="161"/>
      <c r="BV141" s="161"/>
      <c r="BW141" s="161"/>
      <c r="BX141" s="161"/>
      <c r="BY141" s="161"/>
      <c r="BZ141" s="161"/>
      <c r="CA141" s="161"/>
      <c r="CB141" s="161"/>
      <c r="CC141" s="161"/>
      <c r="CD141" s="161"/>
      <c r="CE141" s="161"/>
      <c r="CF141" s="161"/>
      <c r="CG141" s="161"/>
      <c r="CH141" s="161"/>
      <c r="CI141" s="161"/>
      <c r="CJ141" s="161"/>
      <c r="CK141" s="161"/>
      <c r="CL141" s="161"/>
      <c r="CM141" s="161"/>
      <c r="CN141" s="161"/>
      <c r="CO141" s="161"/>
      <c r="CP141" s="161"/>
      <c r="CQ141" s="161"/>
      <c r="CR141" s="161"/>
      <c r="CS141" s="161"/>
      <c r="CT141" s="161"/>
      <c r="CU141" s="161"/>
      <c r="CV141" s="161"/>
      <c r="CW141" s="161"/>
      <c r="CX141" s="161"/>
      <c r="CY141" s="161"/>
      <c r="CZ141" s="161"/>
      <c r="DA141" s="161"/>
      <c r="DB141" s="161"/>
      <c r="DC141" s="161"/>
      <c r="DD141" s="161"/>
      <c r="DE141" s="161"/>
      <c r="DF141" s="161"/>
      <c r="DG141" s="161"/>
      <c r="DH141" s="161"/>
      <c r="DI141" s="161"/>
      <c r="DJ141" s="161"/>
      <c r="DK141" s="161"/>
      <c r="DL141" s="161"/>
      <c r="DM141" s="161"/>
      <c r="DN141" s="161"/>
      <c r="DO141" s="161"/>
      <c r="DP141" s="161"/>
      <c r="DQ141" s="161"/>
      <c r="DR141" s="161"/>
      <c r="DS141" s="161"/>
      <c r="DT141" s="161"/>
      <c r="DU141" s="161"/>
      <c r="DV141" s="161"/>
      <c r="DW141" s="161"/>
      <c r="DX141" s="161"/>
    </row>
    <row r="142" ht="13.55" customHeight="1">
      <c r="A142" s="347"/>
      <c r="B142" s="161"/>
      <c r="C142" s="161"/>
      <c r="D142" s="161"/>
      <c r="E142" s="161"/>
      <c r="F142" s="161"/>
      <c r="G142" s="161"/>
      <c r="H142" s="161"/>
      <c r="I142" s="653">
        <f>IF($H$138&gt;0,($H$139+$H$138),$H$139)</f>
        <v>0.0002375444</v>
      </c>
      <c r="J142" s="161"/>
      <c r="K142" s="161"/>
      <c r="L142" s="161"/>
      <c r="M142" s="161"/>
      <c r="N142" s="161"/>
      <c r="O142" s="161"/>
      <c r="P142" s="161"/>
      <c r="Q142" s="161"/>
      <c r="R142" s="219"/>
      <c r="S142" s="161"/>
      <c r="T142" s="161"/>
      <c r="U142" s="161"/>
      <c r="V142" s="161"/>
      <c r="W142" s="161"/>
      <c r="X142" s="161"/>
      <c r="Y142" s="161"/>
      <c r="Z142" s="161"/>
      <c r="AA142" s="161"/>
      <c r="AB142" s="161"/>
      <c r="AC142" s="161"/>
      <c r="AD142" s="161"/>
      <c r="AE142" s="161"/>
      <c r="AF142" s="161"/>
      <c r="AG142" s="161"/>
      <c r="AH142" s="161"/>
      <c r="AI142" s="161"/>
      <c r="AJ142" s="161"/>
      <c r="AK142" s="161"/>
      <c r="AL142" s="161"/>
      <c r="AM142" s="161"/>
      <c r="AN142" s="161"/>
      <c r="AO142" s="161"/>
      <c r="AP142" s="161"/>
      <c r="AQ142" s="161"/>
      <c r="AR142" s="161"/>
      <c r="AS142" s="161"/>
      <c r="AT142" s="161"/>
      <c r="AU142" s="161"/>
      <c r="AV142" s="161"/>
      <c r="AW142" s="161"/>
      <c r="AX142" s="161"/>
      <c r="AY142" s="161"/>
      <c r="AZ142" s="161"/>
      <c r="BA142" s="161"/>
      <c r="BB142" s="161"/>
      <c r="BC142" s="161"/>
      <c r="BD142" s="161"/>
      <c r="BE142" s="161"/>
      <c r="BF142" s="161"/>
      <c r="BG142" s="161"/>
      <c r="BH142" s="161"/>
      <c r="BI142" s="161"/>
      <c r="BJ142" s="161"/>
      <c r="BK142" s="161"/>
      <c r="BL142" s="161"/>
      <c r="BM142" s="161"/>
      <c r="BN142" s="161"/>
      <c r="BO142" s="161"/>
      <c r="BP142" s="161"/>
      <c r="BQ142" s="161"/>
      <c r="BR142" s="161"/>
      <c r="BS142" s="161"/>
      <c r="BT142" s="161"/>
      <c r="BU142" s="161"/>
      <c r="BV142" s="161"/>
      <c r="BW142" s="161"/>
      <c r="BX142" s="161"/>
      <c r="BY142" s="161"/>
      <c r="BZ142" s="161"/>
      <c r="CA142" s="161"/>
      <c r="CB142" s="161"/>
      <c r="CC142" s="161"/>
      <c r="CD142" s="161"/>
      <c r="CE142" s="161"/>
      <c r="CF142" s="161"/>
      <c r="CG142" s="161"/>
      <c r="CH142" s="161"/>
      <c r="CI142" s="161"/>
      <c r="CJ142" s="161"/>
      <c r="CK142" s="161"/>
      <c r="CL142" s="161"/>
      <c r="CM142" s="161"/>
      <c r="CN142" s="161"/>
      <c r="CO142" s="161"/>
      <c r="CP142" s="161"/>
      <c r="CQ142" s="161"/>
      <c r="CR142" s="161"/>
      <c r="CS142" s="161"/>
      <c r="CT142" s="161"/>
      <c r="CU142" s="161"/>
      <c r="CV142" s="161"/>
      <c r="CW142" s="161"/>
      <c r="CX142" s="161"/>
      <c r="CY142" s="161"/>
      <c r="CZ142" s="161"/>
      <c r="DA142" s="161"/>
      <c r="DB142" s="161"/>
      <c r="DC142" s="161"/>
      <c r="DD142" s="161"/>
      <c r="DE142" s="161"/>
      <c r="DF142" s="161"/>
      <c r="DG142" s="161"/>
      <c r="DH142" s="161"/>
      <c r="DI142" s="161"/>
      <c r="DJ142" s="161"/>
      <c r="DK142" s="161"/>
      <c r="DL142" s="161"/>
      <c r="DM142" s="161"/>
      <c r="DN142" s="161"/>
      <c r="DO142" s="161"/>
      <c r="DP142" s="161"/>
      <c r="DQ142" s="161"/>
      <c r="DR142" s="161"/>
      <c r="DS142" s="161"/>
      <c r="DT142" s="161"/>
      <c r="DU142" s="161"/>
      <c r="DV142" s="161"/>
      <c r="DW142" s="161"/>
      <c r="DX142" s="161"/>
    </row>
    <row r="143" ht="13.55" customHeight="1">
      <c r="A143" s="347"/>
      <c r="B143" s="161"/>
      <c r="C143" s="161"/>
      <c r="D143" s="161"/>
      <c r="E143" s="161"/>
      <c r="F143" s="161"/>
      <c r="G143" s="161"/>
      <c r="H143" s="161"/>
      <c r="I143" s="161"/>
      <c r="J143" s="161"/>
      <c r="K143" s="161"/>
      <c r="L143" s="161"/>
      <c r="M143" s="161"/>
      <c r="N143" s="161"/>
      <c r="O143" s="161"/>
      <c r="P143" s="161"/>
      <c r="Q143" s="161"/>
      <c r="R143" s="219"/>
      <c r="S143" s="161"/>
      <c r="T143" s="161"/>
      <c r="U143" s="161"/>
      <c r="V143" s="161"/>
      <c r="W143" s="161"/>
      <c r="X143" s="161"/>
      <c r="Y143" s="161"/>
      <c r="Z143" s="161"/>
      <c r="AA143" s="161"/>
      <c r="AB143" s="161"/>
      <c r="AC143" s="161"/>
      <c r="AD143" s="161"/>
      <c r="AE143" s="161"/>
      <c r="AF143" s="161"/>
      <c r="AG143" s="161"/>
      <c r="AH143" s="161"/>
      <c r="AI143" s="161"/>
      <c r="AJ143" s="161"/>
      <c r="AK143" s="161"/>
      <c r="AL143" s="161"/>
      <c r="AM143" s="161"/>
      <c r="AN143" s="161"/>
      <c r="AO143" s="161"/>
      <c r="AP143" s="161"/>
      <c r="AQ143" s="161"/>
      <c r="AR143" s="161"/>
      <c r="AS143" s="161"/>
      <c r="AT143" s="161"/>
      <c r="AU143" s="161"/>
      <c r="AV143" s="161"/>
      <c r="AW143" s="161"/>
      <c r="AX143" s="161"/>
      <c r="AY143" s="161"/>
      <c r="AZ143" s="161"/>
      <c r="BA143" s="161"/>
      <c r="BB143" s="161"/>
      <c r="BC143" s="161"/>
      <c r="BD143" s="161"/>
      <c r="BE143" s="161"/>
      <c r="BF143" s="161"/>
      <c r="BG143" s="161"/>
      <c r="BH143" s="161"/>
      <c r="BI143" s="161"/>
      <c r="BJ143" s="161"/>
      <c r="BK143" s="161"/>
      <c r="BL143" s="161"/>
      <c r="BM143" s="161"/>
      <c r="BN143" s="161"/>
      <c r="BO143" s="161"/>
      <c r="BP143" s="161"/>
      <c r="BQ143" s="161"/>
      <c r="BR143" s="161"/>
      <c r="BS143" s="161"/>
      <c r="BT143" s="161"/>
      <c r="BU143" s="161"/>
      <c r="BV143" s="161"/>
      <c r="BW143" s="161"/>
      <c r="BX143" s="161"/>
      <c r="BY143" s="161"/>
      <c r="BZ143" s="161"/>
      <c r="CA143" s="161"/>
      <c r="CB143" s="161"/>
      <c r="CC143" s="161"/>
      <c r="CD143" s="161"/>
      <c r="CE143" s="161"/>
      <c r="CF143" s="161"/>
      <c r="CG143" s="161"/>
      <c r="CH143" s="161"/>
      <c r="CI143" s="161"/>
      <c r="CJ143" s="161"/>
      <c r="CK143" s="161"/>
      <c r="CL143" s="161"/>
      <c r="CM143" s="161"/>
      <c r="CN143" s="161"/>
      <c r="CO143" s="161"/>
      <c r="CP143" s="161"/>
      <c r="CQ143" s="161"/>
      <c r="CR143" s="161"/>
      <c r="CS143" s="161"/>
      <c r="CT143" s="161"/>
      <c r="CU143" s="161"/>
      <c r="CV143" s="161"/>
      <c r="CW143" s="161"/>
      <c r="CX143" s="161"/>
      <c r="CY143" s="161"/>
      <c r="CZ143" s="161"/>
      <c r="DA143" s="161"/>
      <c r="DB143" s="161"/>
      <c r="DC143" s="161"/>
      <c r="DD143" s="161"/>
      <c r="DE143" s="161"/>
      <c r="DF143" s="161"/>
      <c r="DG143" s="161"/>
      <c r="DH143" s="161"/>
      <c r="DI143" s="161"/>
      <c r="DJ143" s="161"/>
      <c r="DK143" s="161"/>
      <c r="DL143" s="161"/>
      <c r="DM143" s="161"/>
      <c r="DN143" s="161"/>
      <c r="DO143" s="161"/>
      <c r="DP143" s="161"/>
      <c r="DQ143" s="161"/>
      <c r="DR143" s="161"/>
      <c r="DS143" s="161"/>
      <c r="DT143" s="161"/>
      <c r="DU143" s="161"/>
      <c r="DV143" s="161"/>
      <c r="DW143" s="161"/>
      <c r="DX143" s="161"/>
    </row>
    <row r="144" ht="13.55" customHeight="1">
      <c r="A144" s="347"/>
      <c r="B144" s="161"/>
      <c r="C144" s="161"/>
      <c r="D144" s="161"/>
      <c r="E144" s="161"/>
      <c r="F144" s="161"/>
      <c r="G144" s="161"/>
      <c r="H144" s="161"/>
      <c r="I144" s="161"/>
      <c r="J144" s="161"/>
      <c r="K144" s="161"/>
      <c r="L144" s="161"/>
      <c r="M144" s="161"/>
      <c r="N144" s="161"/>
      <c r="O144" s="161"/>
      <c r="P144" s="161"/>
      <c r="Q144" s="161"/>
      <c r="R144" s="219"/>
      <c r="S144" s="161"/>
      <c r="T144" s="161"/>
      <c r="U144" s="161"/>
      <c r="V144" s="161"/>
      <c r="W144" s="161"/>
      <c r="X144" s="161"/>
      <c r="Y144" s="161"/>
      <c r="Z144" s="161"/>
      <c r="AA144" s="161"/>
      <c r="AB144" s="161"/>
      <c r="AC144" s="161"/>
      <c r="AD144" s="161"/>
      <c r="AE144" s="161"/>
      <c r="AF144" s="161"/>
      <c r="AG144" s="161"/>
      <c r="AH144" s="161"/>
      <c r="AI144" s="161"/>
      <c r="AJ144" s="161"/>
      <c r="AK144" s="161"/>
      <c r="AL144" s="161"/>
      <c r="AM144" s="161"/>
      <c r="AN144" s="161"/>
      <c r="AO144" s="161"/>
      <c r="AP144" s="161"/>
      <c r="AQ144" s="161"/>
      <c r="AR144" s="161"/>
      <c r="AS144" s="161"/>
      <c r="AT144" s="161"/>
      <c r="AU144" s="161"/>
      <c r="AV144" s="161"/>
      <c r="AW144" s="161"/>
      <c r="AX144" s="161"/>
      <c r="AY144" s="161"/>
      <c r="AZ144" s="161"/>
      <c r="BA144" s="161"/>
      <c r="BB144" s="161"/>
      <c r="BC144" s="161"/>
      <c r="BD144" s="161"/>
      <c r="BE144" s="161"/>
      <c r="BF144" s="161"/>
      <c r="BG144" s="161"/>
      <c r="BH144" s="161"/>
      <c r="BI144" s="161"/>
      <c r="BJ144" s="161"/>
      <c r="BK144" s="161"/>
      <c r="BL144" s="161"/>
      <c r="BM144" s="161"/>
      <c r="BN144" s="161"/>
      <c r="BO144" s="161"/>
      <c r="BP144" s="161"/>
      <c r="BQ144" s="161"/>
      <c r="BR144" s="161"/>
      <c r="BS144" s="161"/>
      <c r="BT144" s="161"/>
      <c r="BU144" s="161"/>
      <c r="BV144" s="161"/>
      <c r="BW144" s="161"/>
      <c r="BX144" s="161"/>
      <c r="BY144" s="161"/>
      <c r="BZ144" s="161"/>
      <c r="CA144" s="161"/>
      <c r="CB144" s="161"/>
      <c r="CC144" s="161"/>
      <c r="CD144" s="161"/>
      <c r="CE144" s="161"/>
      <c r="CF144" s="161"/>
      <c r="CG144" s="161"/>
      <c r="CH144" s="161"/>
      <c r="CI144" s="161"/>
      <c r="CJ144" s="161"/>
      <c r="CK144" s="161"/>
      <c r="CL144" s="161"/>
      <c r="CM144" s="161"/>
      <c r="CN144" s="161"/>
      <c r="CO144" s="161"/>
      <c r="CP144" s="161"/>
      <c r="CQ144" s="161"/>
      <c r="CR144" s="161"/>
      <c r="CS144" s="161"/>
      <c r="CT144" s="161"/>
      <c r="CU144" s="161"/>
      <c r="CV144" s="161"/>
      <c r="CW144" s="161"/>
      <c r="CX144" s="161"/>
      <c r="CY144" s="161"/>
      <c r="CZ144" s="161"/>
      <c r="DA144" s="161"/>
      <c r="DB144" s="161"/>
      <c r="DC144" s="161"/>
      <c r="DD144" s="161"/>
      <c r="DE144" s="161"/>
      <c r="DF144" s="161"/>
      <c r="DG144" s="161"/>
      <c r="DH144" s="161"/>
      <c r="DI144" s="161"/>
      <c r="DJ144" s="161"/>
      <c r="DK144" s="161"/>
      <c r="DL144" s="161"/>
      <c r="DM144" s="161"/>
      <c r="DN144" s="161"/>
      <c r="DO144" s="161"/>
      <c r="DP144" s="161"/>
      <c r="DQ144" s="161"/>
      <c r="DR144" s="161"/>
      <c r="DS144" s="161"/>
      <c r="DT144" s="161"/>
      <c r="DU144" s="161"/>
      <c r="DV144" s="161"/>
      <c r="DW144" s="161"/>
      <c r="DX144" s="161"/>
    </row>
    <row r="145" ht="13.55" customHeight="1">
      <c r="A145" s="347"/>
      <c r="B145" s="161"/>
      <c r="C145" s="161"/>
      <c r="D145" s="161"/>
      <c r="E145" s="161"/>
      <c r="F145" s="161"/>
      <c r="G145" s="161"/>
      <c r="H145" s="161"/>
      <c r="I145" s="161"/>
      <c r="J145" s="161"/>
      <c r="K145" s="161"/>
      <c r="L145" s="161"/>
      <c r="M145" s="161"/>
      <c r="N145" s="161"/>
      <c r="O145" s="161"/>
      <c r="P145" s="161"/>
      <c r="Q145" s="161"/>
      <c r="R145" s="219"/>
      <c r="S145" s="161"/>
      <c r="T145" s="161"/>
      <c r="U145" s="161"/>
      <c r="V145" s="161"/>
      <c r="W145" s="161"/>
      <c r="X145" s="161"/>
      <c r="Y145" s="161"/>
      <c r="Z145" s="161"/>
      <c r="AA145" s="161"/>
      <c r="AB145" s="161"/>
      <c r="AC145" s="161"/>
      <c r="AD145" s="161"/>
      <c r="AE145" s="161"/>
      <c r="AF145" s="161"/>
      <c r="AG145" s="161"/>
      <c r="AH145" s="161"/>
      <c r="AI145" s="161"/>
      <c r="AJ145" s="161"/>
      <c r="AK145" s="161"/>
      <c r="AL145" s="161"/>
      <c r="AM145" s="161"/>
      <c r="AN145" s="161"/>
      <c r="AO145" s="161"/>
      <c r="AP145" s="161"/>
      <c r="AQ145" s="161"/>
      <c r="AR145" s="161"/>
      <c r="AS145" s="161"/>
      <c r="AT145" s="161"/>
      <c r="AU145" s="161"/>
      <c r="AV145" s="161"/>
      <c r="AW145" s="161"/>
      <c r="AX145" s="161"/>
      <c r="AY145" s="161"/>
      <c r="AZ145" s="161"/>
      <c r="BA145" s="161"/>
      <c r="BB145" s="161"/>
      <c r="BC145" s="161"/>
      <c r="BD145" s="161"/>
      <c r="BE145" s="161"/>
      <c r="BF145" s="161"/>
      <c r="BG145" s="161"/>
      <c r="BH145" s="161"/>
      <c r="BI145" s="161"/>
      <c r="BJ145" s="161"/>
      <c r="BK145" s="161"/>
      <c r="BL145" s="161"/>
      <c r="BM145" s="161"/>
      <c r="BN145" s="161"/>
      <c r="BO145" s="161"/>
      <c r="BP145" s="161"/>
      <c r="BQ145" s="161"/>
      <c r="BR145" s="161"/>
      <c r="BS145" s="161"/>
      <c r="BT145" s="161"/>
      <c r="BU145" s="161"/>
      <c r="BV145" s="161"/>
      <c r="BW145" s="161"/>
      <c r="BX145" s="161"/>
      <c r="BY145" s="161"/>
      <c r="BZ145" s="161"/>
      <c r="CA145" s="161"/>
      <c r="CB145" s="161"/>
      <c r="CC145" s="161"/>
      <c r="CD145" s="161"/>
      <c r="CE145" s="161"/>
      <c r="CF145" s="161"/>
      <c r="CG145" s="161"/>
      <c r="CH145" s="161"/>
      <c r="CI145" s="161"/>
      <c r="CJ145" s="161"/>
      <c r="CK145" s="161"/>
      <c r="CL145" s="161"/>
      <c r="CM145" s="161"/>
      <c r="CN145" s="161"/>
      <c r="CO145" s="161"/>
      <c r="CP145" s="161"/>
      <c r="CQ145" s="161"/>
      <c r="CR145" s="161"/>
      <c r="CS145" s="161"/>
      <c r="CT145" s="161"/>
      <c r="CU145" s="161"/>
      <c r="CV145" s="161"/>
      <c r="CW145" s="161"/>
      <c r="CX145" s="161"/>
      <c r="CY145" s="161"/>
      <c r="CZ145" s="161"/>
      <c r="DA145" s="161"/>
      <c r="DB145" s="161"/>
      <c r="DC145" s="161"/>
      <c r="DD145" s="161"/>
      <c r="DE145" s="161"/>
      <c r="DF145" s="161"/>
      <c r="DG145" s="161"/>
      <c r="DH145" s="161"/>
      <c r="DI145" s="161"/>
      <c r="DJ145" s="161"/>
      <c r="DK145" s="161"/>
      <c r="DL145" s="161"/>
      <c r="DM145" s="161"/>
      <c r="DN145" s="161"/>
      <c r="DO145" s="161"/>
      <c r="DP145" s="161"/>
      <c r="DQ145" s="161"/>
      <c r="DR145" s="161"/>
      <c r="DS145" s="161"/>
      <c r="DT145" s="161"/>
      <c r="DU145" s="161"/>
      <c r="DV145" s="161"/>
      <c r="DW145" s="161"/>
      <c r="DX145" s="161"/>
    </row>
    <row r="146" ht="13.55" customHeight="1">
      <c r="A146" s="347"/>
      <c r="B146" s="161"/>
      <c r="C146" s="161"/>
      <c r="D146" s="161"/>
      <c r="E146" s="161"/>
      <c r="F146" s="161"/>
      <c r="G146" s="161"/>
      <c r="H146" s="161"/>
      <c r="I146" s="161"/>
      <c r="J146" s="161"/>
      <c r="K146" s="161"/>
      <c r="L146" s="161"/>
      <c r="M146" s="161"/>
      <c r="N146" s="161"/>
      <c r="O146" s="161"/>
      <c r="P146" s="161"/>
      <c r="Q146" s="161"/>
      <c r="R146" s="219"/>
      <c r="S146" s="161"/>
      <c r="T146" s="161"/>
      <c r="U146" s="161"/>
      <c r="V146" s="161"/>
      <c r="W146" s="161"/>
      <c r="X146" s="161"/>
      <c r="Y146" s="161"/>
      <c r="Z146" s="161"/>
      <c r="AA146" s="161"/>
      <c r="AB146" s="161"/>
      <c r="AC146" s="161"/>
      <c r="AD146" s="161"/>
      <c r="AE146" s="161"/>
      <c r="AF146" s="161"/>
      <c r="AG146" s="161"/>
      <c r="AH146" s="161"/>
      <c r="AI146" s="161"/>
      <c r="AJ146" s="161"/>
      <c r="AK146" s="161"/>
      <c r="AL146" s="161"/>
      <c r="AM146" s="161"/>
      <c r="AN146" s="161"/>
      <c r="AO146" s="161"/>
      <c r="AP146" s="161"/>
      <c r="AQ146" s="161"/>
      <c r="AR146" s="161"/>
      <c r="AS146" s="161"/>
      <c r="AT146" s="161"/>
      <c r="AU146" s="161"/>
      <c r="AV146" s="161"/>
      <c r="AW146" s="161"/>
      <c r="AX146" s="161"/>
      <c r="AY146" s="161"/>
      <c r="AZ146" s="161"/>
      <c r="BA146" s="161"/>
      <c r="BB146" s="161"/>
      <c r="BC146" s="161"/>
      <c r="BD146" s="161"/>
      <c r="BE146" s="161"/>
      <c r="BF146" s="161"/>
      <c r="BG146" s="161"/>
      <c r="BH146" s="161"/>
      <c r="BI146" s="161"/>
      <c r="BJ146" s="161"/>
      <c r="BK146" s="161"/>
      <c r="BL146" s="161"/>
      <c r="BM146" s="161"/>
      <c r="BN146" s="161"/>
      <c r="BO146" s="161"/>
      <c r="BP146" s="161"/>
      <c r="BQ146" s="161"/>
      <c r="BR146" s="161"/>
      <c r="BS146" s="161"/>
      <c r="BT146" s="161"/>
      <c r="BU146" s="161"/>
      <c r="BV146" s="161"/>
      <c r="BW146" s="161"/>
      <c r="BX146" s="161"/>
      <c r="BY146" s="161"/>
      <c r="BZ146" s="161"/>
      <c r="CA146" s="161"/>
      <c r="CB146" s="161"/>
      <c r="CC146" s="161"/>
      <c r="CD146" s="161"/>
      <c r="CE146" s="161"/>
      <c r="CF146" s="161"/>
      <c r="CG146" s="161"/>
      <c r="CH146" s="161"/>
      <c r="CI146" s="161"/>
      <c r="CJ146" s="161"/>
      <c r="CK146" s="161"/>
      <c r="CL146" s="161"/>
      <c r="CM146" s="161"/>
      <c r="CN146" s="161"/>
      <c r="CO146" s="161"/>
      <c r="CP146" s="161"/>
      <c r="CQ146" s="161"/>
      <c r="CR146" s="161"/>
      <c r="CS146" s="161"/>
      <c r="CT146" s="161"/>
      <c r="CU146" s="161"/>
      <c r="CV146" s="161"/>
      <c r="CW146" s="161"/>
      <c r="CX146" s="161"/>
      <c r="CY146" s="161"/>
      <c r="CZ146" s="161"/>
      <c r="DA146" s="161"/>
      <c r="DB146" s="161"/>
      <c r="DC146" s="161"/>
      <c r="DD146" s="161"/>
      <c r="DE146" s="161"/>
      <c r="DF146" s="161"/>
      <c r="DG146" s="161"/>
      <c r="DH146" s="161"/>
      <c r="DI146" s="161"/>
      <c r="DJ146" s="161"/>
      <c r="DK146" s="161"/>
      <c r="DL146" s="161"/>
      <c r="DM146" s="161"/>
      <c r="DN146" s="161"/>
      <c r="DO146" s="161"/>
      <c r="DP146" s="161"/>
      <c r="DQ146" s="161"/>
      <c r="DR146" s="161"/>
      <c r="DS146" s="161"/>
      <c r="DT146" s="161"/>
      <c r="DU146" s="161"/>
      <c r="DV146" s="161"/>
      <c r="DW146" s="161"/>
      <c r="DX146" s="161"/>
    </row>
    <row r="147" ht="13.55" customHeight="1">
      <c r="A147" s="347"/>
      <c r="B147" s="161"/>
      <c r="C147" s="161"/>
      <c r="D147" s="161"/>
      <c r="E147" s="161"/>
      <c r="F147" s="161"/>
      <c r="G147" s="161"/>
      <c r="H147" s="161"/>
      <c r="I147" s="161"/>
      <c r="J147" s="161"/>
      <c r="K147" s="161"/>
      <c r="L147" s="161"/>
      <c r="M147" s="161"/>
      <c r="N147" s="161"/>
      <c r="O147" s="161"/>
      <c r="P147" s="161"/>
      <c r="Q147" s="161"/>
      <c r="R147" s="219"/>
      <c r="S147" s="161"/>
      <c r="T147" s="161"/>
      <c r="U147" s="161"/>
      <c r="V147" s="161"/>
      <c r="W147" s="161"/>
      <c r="X147" s="161"/>
      <c r="Y147" s="161"/>
      <c r="Z147" s="161"/>
      <c r="AA147" s="161"/>
      <c r="AB147" s="161"/>
      <c r="AC147" s="161"/>
      <c r="AD147" s="161"/>
      <c r="AE147" s="161"/>
      <c r="AF147" s="161"/>
      <c r="AG147" s="161"/>
      <c r="AH147" s="161"/>
      <c r="AI147" s="161"/>
      <c r="AJ147" s="161"/>
      <c r="AK147" s="161"/>
      <c r="AL147" s="161"/>
      <c r="AM147" s="161"/>
      <c r="AN147" s="161"/>
      <c r="AO147" s="161"/>
      <c r="AP147" s="161"/>
      <c r="AQ147" s="161"/>
      <c r="AR147" s="161"/>
      <c r="AS147" s="161"/>
      <c r="AT147" s="161"/>
      <c r="AU147" s="161"/>
      <c r="AV147" s="161"/>
      <c r="AW147" s="161"/>
      <c r="AX147" s="161"/>
      <c r="AY147" s="161"/>
      <c r="AZ147" s="161"/>
      <c r="BA147" s="161"/>
      <c r="BB147" s="161"/>
      <c r="BC147" s="161"/>
      <c r="BD147" s="161"/>
      <c r="BE147" s="161"/>
      <c r="BF147" s="161"/>
      <c r="BG147" s="161"/>
      <c r="BH147" s="161"/>
      <c r="BI147" s="161"/>
      <c r="BJ147" s="161"/>
      <c r="BK147" s="161"/>
      <c r="BL147" s="161"/>
      <c r="BM147" s="161"/>
      <c r="BN147" s="161"/>
      <c r="BO147" s="161"/>
      <c r="BP147" s="161"/>
      <c r="BQ147" s="161"/>
      <c r="BR147" s="161"/>
      <c r="BS147" s="161"/>
      <c r="BT147" s="161"/>
      <c r="BU147" s="161"/>
      <c r="BV147" s="161"/>
      <c r="BW147" s="161"/>
      <c r="BX147" s="161"/>
      <c r="BY147" s="161"/>
      <c r="BZ147" s="161"/>
      <c r="CA147" s="161"/>
      <c r="CB147" s="161"/>
      <c r="CC147" s="161"/>
      <c r="CD147" s="161"/>
      <c r="CE147" s="161"/>
      <c r="CF147" s="161"/>
      <c r="CG147" s="161"/>
      <c r="CH147" s="161"/>
      <c r="CI147" s="161"/>
      <c r="CJ147" s="161"/>
      <c r="CK147" s="161"/>
      <c r="CL147" s="161"/>
      <c r="CM147" s="161"/>
      <c r="CN147" s="161"/>
      <c r="CO147" s="161"/>
      <c r="CP147" s="161"/>
      <c r="CQ147" s="161"/>
      <c r="CR147" s="161"/>
      <c r="CS147" s="161"/>
      <c r="CT147" s="161"/>
      <c r="CU147" s="161"/>
      <c r="CV147" s="161"/>
      <c r="CW147" s="161"/>
      <c r="CX147" s="161"/>
      <c r="CY147" s="161"/>
      <c r="CZ147" s="161"/>
      <c r="DA147" s="161"/>
      <c r="DB147" s="161"/>
      <c r="DC147" s="161"/>
      <c r="DD147" s="161"/>
      <c r="DE147" s="161"/>
      <c r="DF147" s="161"/>
      <c r="DG147" s="161"/>
      <c r="DH147" s="161"/>
      <c r="DI147" s="161"/>
      <c r="DJ147" s="161"/>
      <c r="DK147" s="161"/>
      <c r="DL147" s="161"/>
      <c r="DM147" s="161"/>
      <c r="DN147" s="161"/>
      <c r="DO147" s="161"/>
      <c r="DP147" s="161"/>
      <c r="DQ147" s="161"/>
      <c r="DR147" s="161"/>
      <c r="DS147" s="161"/>
      <c r="DT147" s="161"/>
      <c r="DU147" s="161"/>
      <c r="DV147" s="161"/>
      <c r="DW147" s="161"/>
      <c r="DX147" s="161"/>
    </row>
    <row r="148" ht="13.55" customHeight="1">
      <c r="A148" s="347"/>
      <c r="B148" s="161"/>
      <c r="C148" s="161"/>
      <c r="D148" s="161"/>
      <c r="E148" s="161"/>
      <c r="F148" s="161"/>
      <c r="G148" s="161"/>
      <c r="H148" s="161"/>
      <c r="I148" s="161"/>
      <c r="J148" s="161"/>
      <c r="K148" s="161"/>
      <c r="L148" s="161"/>
      <c r="M148" s="161"/>
      <c r="N148" s="161"/>
      <c r="O148" s="161"/>
      <c r="P148" s="161"/>
      <c r="Q148" s="161"/>
      <c r="R148" s="219"/>
      <c r="S148" s="161"/>
      <c r="T148" s="161"/>
      <c r="U148" s="161"/>
      <c r="V148" s="161"/>
      <c r="W148" s="161"/>
      <c r="X148" s="161"/>
      <c r="Y148" s="161"/>
      <c r="Z148" s="161"/>
      <c r="AA148" s="161"/>
      <c r="AB148" s="161"/>
      <c r="AC148" s="161"/>
      <c r="AD148" s="161"/>
      <c r="AE148" s="161"/>
      <c r="AF148" s="161"/>
      <c r="AG148" s="161"/>
      <c r="AH148" s="161"/>
      <c r="AI148" s="161"/>
      <c r="AJ148" s="161"/>
      <c r="AK148" s="161"/>
      <c r="AL148" s="161"/>
      <c r="AM148" s="161"/>
      <c r="AN148" s="161"/>
      <c r="AO148" s="161"/>
      <c r="AP148" s="161"/>
      <c r="AQ148" s="161"/>
      <c r="AR148" s="161"/>
      <c r="AS148" s="161"/>
      <c r="AT148" s="161"/>
      <c r="AU148" s="161"/>
      <c r="AV148" s="161"/>
      <c r="AW148" s="161"/>
      <c r="AX148" s="161"/>
      <c r="AY148" s="161"/>
      <c r="AZ148" s="161"/>
      <c r="BA148" s="161"/>
      <c r="BB148" s="161"/>
      <c r="BC148" s="161"/>
      <c r="BD148" s="161"/>
      <c r="BE148" s="161"/>
      <c r="BF148" s="161"/>
      <c r="BG148" s="161"/>
      <c r="BH148" s="161"/>
      <c r="BI148" s="161"/>
      <c r="BJ148" s="161"/>
      <c r="BK148" s="161"/>
      <c r="BL148" s="161"/>
      <c r="BM148" s="161"/>
      <c r="BN148" s="161"/>
      <c r="BO148" s="161"/>
      <c r="BP148" s="161"/>
      <c r="BQ148" s="161"/>
      <c r="BR148" s="161"/>
      <c r="BS148" s="161"/>
      <c r="BT148" s="161"/>
      <c r="BU148" s="161"/>
      <c r="BV148" s="161"/>
      <c r="BW148" s="161"/>
      <c r="BX148" s="161"/>
      <c r="BY148" s="161"/>
      <c r="BZ148" s="161"/>
      <c r="CA148" s="161"/>
      <c r="CB148" s="161"/>
      <c r="CC148" s="161"/>
      <c r="CD148" s="161"/>
      <c r="CE148" s="161"/>
      <c r="CF148" s="161"/>
      <c r="CG148" s="161"/>
      <c r="CH148" s="161"/>
      <c r="CI148" s="161"/>
      <c r="CJ148" s="161"/>
      <c r="CK148" s="161"/>
      <c r="CL148" s="161"/>
      <c r="CM148" s="161"/>
      <c r="CN148" s="161"/>
      <c r="CO148" s="161"/>
      <c r="CP148" s="161"/>
      <c r="CQ148" s="161"/>
      <c r="CR148" s="161"/>
      <c r="CS148" s="161"/>
      <c r="CT148" s="161"/>
      <c r="CU148" s="161"/>
      <c r="CV148" s="161"/>
      <c r="CW148" s="161"/>
      <c r="CX148" s="161"/>
      <c r="CY148" s="161"/>
      <c r="CZ148" s="161"/>
      <c r="DA148" s="161"/>
      <c r="DB148" s="161"/>
      <c r="DC148" s="161"/>
      <c r="DD148" s="161"/>
      <c r="DE148" s="161"/>
      <c r="DF148" s="161"/>
      <c r="DG148" s="161"/>
      <c r="DH148" s="161"/>
      <c r="DI148" s="161"/>
      <c r="DJ148" s="161"/>
      <c r="DK148" s="161"/>
      <c r="DL148" s="161"/>
      <c r="DM148" s="161"/>
      <c r="DN148" s="161"/>
      <c r="DO148" s="161"/>
      <c r="DP148" s="161"/>
      <c r="DQ148" s="161"/>
      <c r="DR148" s="161"/>
      <c r="DS148" s="161"/>
      <c r="DT148" s="161"/>
      <c r="DU148" s="161"/>
      <c r="DV148" s="161"/>
      <c r="DW148" s="161"/>
      <c r="DX148" s="161"/>
    </row>
    <row r="149" ht="13.55" customHeight="1">
      <c r="A149" s="347"/>
      <c r="B149" s="161"/>
      <c r="C149" s="161"/>
      <c r="D149" s="161"/>
      <c r="E149" s="161"/>
      <c r="F149" s="161"/>
      <c r="G149" s="161"/>
      <c r="H149" s="161"/>
      <c r="I149" s="161"/>
      <c r="J149" s="161"/>
      <c r="K149" s="161"/>
      <c r="L149" s="161"/>
      <c r="M149" s="161"/>
      <c r="N149" s="161"/>
      <c r="O149" s="161"/>
      <c r="P149" s="161"/>
      <c r="Q149" s="161"/>
      <c r="R149" s="219"/>
      <c r="S149" s="161"/>
      <c r="T149" s="161"/>
      <c r="U149" s="161"/>
      <c r="V149" s="161"/>
      <c r="W149" s="161"/>
      <c r="X149" s="161"/>
      <c r="Y149" s="161"/>
      <c r="Z149" s="161"/>
      <c r="AA149" s="161"/>
      <c r="AB149" s="161"/>
      <c r="AC149" s="161"/>
      <c r="AD149" s="161"/>
      <c r="AE149" s="161"/>
      <c r="AF149" s="161"/>
      <c r="AG149" s="161"/>
      <c r="AH149" s="161"/>
      <c r="AI149" s="161"/>
      <c r="AJ149" s="161"/>
      <c r="AK149" s="161"/>
      <c r="AL149" s="161"/>
      <c r="AM149" s="161"/>
      <c r="AN149" s="161"/>
      <c r="AO149" s="161"/>
      <c r="AP149" s="161"/>
      <c r="AQ149" s="161"/>
      <c r="AR149" s="161"/>
      <c r="AS149" s="161"/>
      <c r="AT149" s="161"/>
      <c r="AU149" s="161"/>
      <c r="AV149" s="161"/>
      <c r="AW149" s="161"/>
      <c r="AX149" s="161"/>
      <c r="AY149" s="161"/>
      <c r="AZ149" s="161"/>
      <c r="BA149" s="161"/>
      <c r="BB149" s="161"/>
      <c r="BC149" s="161"/>
      <c r="BD149" s="161"/>
      <c r="BE149" s="161"/>
      <c r="BF149" s="161"/>
      <c r="BG149" s="161"/>
      <c r="BH149" s="161"/>
      <c r="BI149" s="161"/>
      <c r="BJ149" s="161"/>
      <c r="BK149" s="161"/>
      <c r="BL149" s="161"/>
      <c r="BM149" s="161"/>
      <c r="BN149" s="161"/>
      <c r="BO149" s="161"/>
      <c r="BP149" s="161"/>
      <c r="BQ149" s="161"/>
      <c r="BR149" s="161"/>
      <c r="BS149" s="161"/>
      <c r="BT149" s="161"/>
      <c r="BU149" s="161"/>
      <c r="BV149" s="161"/>
      <c r="BW149" s="161"/>
      <c r="BX149" s="161"/>
      <c r="BY149" s="161"/>
      <c r="BZ149" s="161"/>
      <c r="CA149" s="161"/>
      <c r="CB149" s="161"/>
      <c r="CC149" s="161"/>
      <c r="CD149" s="161"/>
      <c r="CE149" s="161"/>
      <c r="CF149" s="161"/>
      <c r="CG149" s="161"/>
      <c r="CH149" s="161"/>
      <c r="CI149" s="161"/>
      <c r="CJ149" s="161"/>
      <c r="CK149" s="161"/>
      <c r="CL149" s="161"/>
      <c r="CM149" s="161"/>
      <c r="CN149" s="161"/>
      <c r="CO149" s="161"/>
      <c r="CP149" s="161"/>
      <c r="CQ149" s="161"/>
      <c r="CR149" s="161"/>
      <c r="CS149" s="161"/>
      <c r="CT149" s="161"/>
      <c r="CU149" s="161"/>
      <c r="CV149" s="161"/>
      <c r="CW149" s="161"/>
      <c r="CX149" s="161"/>
      <c r="CY149" s="161"/>
      <c r="CZ149" s="161"/>
      <c r="DA149" s="161"/>
      <c r="DB149" s="161"/>
      <c r="DC149" s="161"/>
      <c r="DD149" s="161"/>
      <c r="DE149" s="161"/>
      <c r="DF149" s="161"/>
      <c r="DG149" s="161"/>
      <c r="DH149" s="161"/>
      <c r="DI149" s="161"/>
      <c r="DJ149" s="161"/>
      <c r="DK149" s="161"/>
      <c r="DL149" s="161"/>
      <c r="DM149" s="161"/>
      <c r="DN149" s="161"/>
      <c r="DO149" s="161"/>
      <c r="DP149" s="161"/>
      <c r="DQ149" s="161"/>
      <c r="DR149" s="161"/>
      <c r="DS149" s="161"/>
      <c r="DT149" s="161"/>
      <c r="DU149" s="161"/>
      <c r="DV149" s="161"/>
      <c r="DW149" s="161"/>
      <c r="DX149" s="161"/>
    </row>
    <row r="150" ht="13.55" customHeight="1">
      <c r="A150" s="347"/>
      <c r="B150" s="161"/>
      <c r="C150" s="161"/>
      <c r="D150" s="161"/>
      <c r="E150" s="161"/>
      <c r="F150" s="161"/>
      <c r="G150" s="161"/>
      <c r="H150" s="161"/>
      <c r="I150" s="161"/>
      <c r="J150" s="161"/>
      <c r="K150" s="161"/>
      <c r="L150" s="161"/>
      <c r="M150" s="161"/>
      <c r="N150" s="161"/>
      <c r="O150" s="161"/>
      <c r="P150" s="161"/>
      <c r="Q150" s="161"/>
      <c r="R150" s="219"/>
      <c r="S150" s="161"/>
      <c r="T150" s="161"/>
      <c r="U150" s="161"/>
      <c r="V150" s="161"/>
      <c r="W150" s="161"/>
      <c r="X150" s="161"/>
      <c r="Y150" s="161"/>
      <c r="Z150" s="161"/>
      <c r="AA150" s="161"/>
      <c r="AB150" s="161"/>
      <c r="AC150" s="161"/>
      <c r="AD150" s="161"/>
      <c r="AE150" s="161"/>
      <c r="AF150" s="161"/>
      <c r="AG150" s="161"/>
      <c r="AH150" s="161"/>
      <c r="AI150" s="161"/>
      <c r="AJ150" s="161"/>
      <c r="AK150" s="161"/>
      <c r="AL150" s="161"/>
      <c r="AM150" s="161"/>
      <c r="AN150" s="161"/>
      <c r="AO150" s="161"/>
      <c r="AP150" s="161"/>
      <c r="AQ150" s="161"/>
      <c r="AR150" s="161"/>
      <c r="AS150" s="161"/>
      <c r="AT150" s="161"/>
      <c r="AU150" s="161"/>
      <c r="AV150" s="161"/>
      <c r="AW150" s="161"/>
      <c r="AX150" s="161"/>
      <c r="AY150" s="161"/>
      <c r="AZ150" s="161"/>
      <c r="BA150" s="161"/>
      <c r="BB150" s="161"/>
      <c r="BC150" s="161"/>
      <c r="BD150" s="161"/>
      <c r="BE150" s="161"/>
      <c r="BF150" s="161"/>
      <c r="BG150" s="161"/>
      <c r="BH150" s="161"/>
      <c r="BI150" s="161"/>
      <c r="BJ150" s="161"/>
      <c r="BK150" s="161"/>
      <c r="BL150" s="161"/>
      <c r="BM150" s="161"/>
      <c r="BN150" s="161"/>
      <c r="BO150" s="161"/>
      <c r="BP150" s="161"/>
      <c r="BQ150" s="161"/>
      <c r="BR150" s="161"/>
      <c r="BS150" s="161"/>
      <c r="BT150" s="161"/>
      <c r="BU150" s="161"/>
      <c r="BV150" s="161"/>
      <c r="BW150" s="161"/>
      <c r="BX150" s="161"/>
      <c r="BY150" s="161"/>
      <c r="BZ150" s="161"/>
      <c r="CA150" s="161"/>
      <c r="CB150" s="161"/>
      <c r="CC150" s="161"/>
      <c r="CD150" s="161"/>
      <c r="CE150" s="161"/>
      <c r="CF150" s="161"/>
      <c r="CG150" s="161"/>
      <c r="CH150" s="161"/>
      <c r="CI150" s="161"/>
      <c r="CJ150" s="161"/>
      <c r="CK150" s="161"/>
      <c r="CL150" s="161"/>
      <c r="CM150" s="161"/>
      <c r="CN150" s="161"/>
      <c r="CO150" s="161"/>
      <c r="CP150" s="161"/>
      <c r="CQ150" s="161"/>
      <c r="CR150" s="161"/>
      <c r="CS150" s="161"/>
      <c r="CT150" s="161"/>
      <c r="CU150" s="161"/>
      <c r="CV150" s="161"/>
      <c r="CW150" s="161"/>
      <c r="CX150" s="161"/>
      <c r="CY150" s="161"/>
      <c r="CZ150" s="161"/>
      <c r="DA150" s="161"/>
      <c r="DB150" s="161"/>
      <c r="DC150" s="161"/>
      <c r="DD150" s="161"/>
      <c r="DE150" s="161"/>
      <c r="DF150" s="161"/>
      <c r="DG150" s="161"/>
      <c r="DH150" s="161"/>
      <c r="DI150" s="161"/>
      <c r="DJ150" s="161"/>
      <c r="DK150" s="161"/>
      <c r="DL150" s="161"/>
      <c r="DM150" s="161"/>
      <c r="DN150" s="161"/>
      <c r="DO150" s="161"/>
      <c r="DP150" s="161"/>
      <c r="DQ150" s="161"/>
      <c r="DR150" s="161"/>
      <c r="DS150" s="161"/>
      <c r="DT150" s="161"/>
      <c r="DU150" s="161"/>
      <c r="DV150" s="161"/>
      <c r="DW150" s="161"/>
      <c r="DX150" s="161"/>
    </row>
    <row r="151" ht="13.55" customHeight="1">
      <c r="A151" s="347"/>
      <c r="B151" s="161"/>
      <c r="C151" s="161"/>
      <c r="D151" s="161"/>
      <c r="E151" s="161"/>
      <c r="F151" s="161"/>
      <c r="G151" s="161"/>
      <c r="H151" s="161"/>
      <c r="I151" s="161"/>
      <c r="J151" s="161"/>
      <c r="K151" s="161"/>
      <c r="L151" s="161"/>
      <c r="M151" s="161"/>
      <c r="N151" s="161"/>
      <c r="O151" s="161"/>
      <c r="P151" s="161"/>
      <c r="Q151" s="161"/>
      <c r="R151" s="219"/>
      <c r="S151" s="161"/>
      <c r="T151" s="161"/>
      <c r="U151" s="161"/>
      <c r="V151" s="161"/>
      <c r="W151" s="161"/>
      <c r="X151" s="161"/>
      <c r="Y151" s="161"/>
      <c r="Z151" s="161"/>
      <c r="AA151" s="161"/>
      <c r="AB151" s="161"/>
      <c r="AC151" s="161"/>
      <c r="AD151" s="161"/>
      <c r="AE151" s="161"/>
      <c r="AF151" s="161"/>
      <c r="AG151" s="161"/>
      <c r="AH151" s="161"/>
      <c r="AI151" s="161"/>
      <c r="AJ151" s="161"/>
      <c r="AK151" s="161"/>
      <c r="AL151" s="161"/>
      <c r="AM151" s="161"/>
      <c r="AN151" s="161"/>
      <c r="AO151" s="161"/>
      <c r="AP151" s="161"/>
      <c r="AQ151" s="161"/>
      <c r="AR151" s="161"/>
      <c r="AS151" s="161"/>
      <c r="AT151" s="161"/>
      <c r="AU151" s="161"/>
      <c r="AV151" s="161"/>
      <c r="AW151" s="161"/>
      <c r="AX151" s="161"/>
      <c r="AY151" s="161"/>
      <c r="AZ151" s="161"/>
      <c r="BA151" s="161"/>
      <c r="BB151" s="161"/>
      <c r="BC151" s="161"/>
      <c r="BD151" s="161"/>
      <c r="BE151" s="161"/>
      <c r="BF151" s="161"/>
      <c r="BG151" s="161"/>
      <c r="BH151" s="161"/>
      <c r="BI151" s="161"/>
      <c r="BJ151" s="161"/>
      <c r="BK151" s="161"/>
      <c r="BL151" s="161"/>
      <c r="BM151" s="161"/>
      <c r="BN151" s="161"/>
      <c r="BO151" s="161"/>
      <c r="BP151" s="161"/>
      <c r="BQ151" s="161"/>
      <c r="BR151" s="161"/>
      <c r="BS151" s="161"/>
      <c r="BT151" s="161"/>
      <c r="BU151" s="161"/>
      <c r="BV151" s="161"/>
      <c r="BW151" s="161"/>
      <c r="BX151" s="161"/>
      <c r="BY151" s="161"/>
      <c r="BZ151" s="161"/>
      <c r="CA151" s="161"/>
      <c r="CB151" s="161"/>
      <c r="CC151" s="161"/>
      <c r="CD151" s="161"/>
      <c r="CE151" s="161"/>
      <c r="CF151" s="161"/>
      <c r="CG151" s="161"/>
      <c r="CH151" s="161"/>
      <c r="CI151" s="161"/>
      <c r="CJ151" s="161"/>
      <c r="CK151" s="161"/>
      <c r="CL151" s="161"/>
      <c r="CM151" s="161"/>
      <c r="CN151" s="161"/>
      <c r="CO151" s="161"/>
      <c r="CP151" s="161"/>
      <c r="CQ151" s="161"/>
      <c r="CR151" s="161"/>
      <c r="CS151" s="161"/>
      <c r="CT151" s="161"/>
      <c r="CU151" s="161"/>
      <c r="CV151" s="161"/>
      <c r="CW151" s="161"/>
      <c r="CX151" s="161"/>
      <c r="CY151" s="161"/>
      <c r="CZ151" s="161"/>
      <c r="DA151" s="161"/>
      <c r="DB151" s="161"/>
      <c r="DC151" s="161"/>
      <c r="DD151" s="161"/>
      <c r="DE151" s="161"/>
      <c r="DF151" s="161"/>
      <c r="DG151" s="161"/>
      <c r="DH151" s="161"/>
      <c r="DI151" s="161"/>
      <c r="DJ151" s="161"/>
      <c r="DK151" s="161"/>
      <c r="DL151" s="161"/>
      <c r="DM151" s="161"/>
      <c r="DN151" s="161"/>
      <c r="DO151" s="161"/>
      <c r="DP151" s="161"/>
      <c r="DQ151" s="161"/>
      <c r="DR151" s="161"/>
      <c r="DS151" s="161"/>
      <c r="DT151" s="161"/>
      <c r="DU151" s="161"/>
      <c r="DV151" s="161"/>
      <c r="DW151" s="161"/>
      <c r="DX151" s="161"/>
    </row>
    <row r="152" ht="13.55" customHeight="1">
      <c r="A152" s="347"/>
      <c r="B152" s="161"/>
      <c r="C152" s="161"/>
      <c r="D152" s="161"/>
      <c r="E152" s="161"/>
      <c r="F152" s="161"/>
      <c r="G152" s="161"/>
      <c r="H152" s="161"/>
      <c r="I152" s="161"/>
      <c r="J152" s="161"/>
      <c r="K152" s="161"/>
      <c r="L152" s="161"/>
      <c r="M152" s="161"/>
      <c r="N152" s="161"/>
      <c r="O152" s="161"/>
      <c r="P152" s="161"/>
      <c r="Q152" s="161"/>
      <c r="R152" s="219"/>
      <c r="S152" s="161"/>
      <c r="T152" s="161"/>
      <c r="U152" s="161"/>
      <c r="V152" s="161"/>
      <c r="W152" s="161"/>
      <c r="X152" s="161"/>
      <c r="Y152" s="161"/>
      <c r="Z152" s="161"/>
      <c r="AA152" s="161"/>
      <c r="AB152" s="161"/>
      <c r="AC152" s="161"/>
      <c r="AD152" s="161"/>
      <c r="AE152" s="161"/>
      <c r="AF152" s="161"/>
      <c r="AG152" s="161"/>
      <c r="AH152" s="161"/>
      <c r="AI152" s="161"/>
      <c r="AJ152" s="161"/>
      <c r="AK152" s="161"/>
      <c r="AL152" s="161"/>
      <c r="AM152" s="161"/>
      <c r="AN152" s="161"/>
      <c r="AO152" s="161"/>
      <c r="AP152" s="161"/>
      <c r="AQ152" s="161"/>
      <c r="AR152" s="161"/>
      <c r="AS152" s="161"/>
      <c r="AT152" s="161"/>
      <c r="AU152" s="161"/>
      <c r="AV152" s="161"/>
      <c r="AW152" s="161"/>
      <c r="AX152" s="161"/>
      <c r="AY152" s="161"/>
      <c r="AZ152" s="161"/>
      <c r="BA152" s="161"/>
      <c r="BB152" s="161"/>
      <c r="BC152" s="161"/>
      <c r="BD152" s="161"/>
      <c r="BE152" s="161"/>
      <c r="BF152" s="161"/>
      <c r="BG152" s="161"/>
      <c r="BH152" s="161"/>
      <c r="BI152" s="161"/>
      <c r="BJ152" s="161"/>
      <c r="BK152" s="161"/>
      <c r="BL152" s="161"/>
      <c r="BM152" s="161"/>
      <c r="BN152" s="161"/>
      <c r="BO152" s="161"/>
      <c r="BP152" s="161"/>
      <c r="BQ152" s="161"/>
      <c r="BR152" s="161"/>
      <c r="BS152" s="161"/>
      <c r="BT152" s="161"/>
      <c r="BU152" s="161"/>
      <c r="BV152" s="161"/>
      <c r="BW152" s="161"/>
      <c r="BX152" s="161"/>
      <c r="BY152" s="161"/>
      <c r="BZ152" s="161"/>
      <c r="CA152" s="161"/>
      <c r="CB152" s="161"/>
      <c r="CC152" s="161"/>
      <c r="CD152" s="161"/>
      <c r="CE152" s="161"/>
      <c r="CF152" s="161"/>
      <c r="CG152" s="161"/>
      <c r="CH152" s="161"/>
      <c r="CI152" s="161"/>
      <c r="CJ152" s="161"/>
      <c r="CK152" s="161"/>
      <c r="CL152" s="161"/>
      <c r="CM152" s="161"/>
      <c r="CN152" s="161"/>
      <c r="CO152" s="161"/>
      <c r="CP152" s="161"/>
      <c r="CQ152" s="161"/>
      <c r="CR152" s="161"/>
      <c r="CS152" s="161"/>
      <c r="CT152" s="161"/>
      <c r="CU152" s="161"/>
      <c r="CV152" s="161"/>
      <c r="CW152" s="161"/>
      <c r="CX152" s="161"/>
      <c r="CY152" s="161"/>
      <c r="CZ152" s="161"/>
      <c r="DA152" s="161"/>
      <c r="DB152" s="161"/>
      <c r="DC152" s="161"/>
      <c r="DD152" s="161"/>
      <c r="DE152" s="161"/>
      <c r="DF152" s="161"/>
      <c r="DG152" s="161"/>
      <c r="DH152" s="161"/>
      <c r="DI152" s="161"/>
      <c r="DJ152" s="161"/>
      <c r="DK152" s="161"/>
      <c r="DL152" s="161"/>
      <c r="DM152" s="161"/>
      <c r="DN152" s="161"/>
      <c r="DO152" s="161"/>
      <c r="DP152" s="161"/>
      <c r="DQ152" s="161"/>
      <c r="DR152" s="161"/>
      <c r="DS152" s="161"/>
      <c r="DT152" s="161"/>
      <c r="DU152" s="161"/>
      <c r="DV152" s="161"/>
      <c r="DW152" s="161"/>
      <c r="DX152" s="161"/>
    </row>
    <row r="153" ht="13.55" customHeight="1">
      <c r="A153" s="347"/>
      <c r="B153" s="161"/>
      <c r="C153" s="161"/>
      <c r="D153" s="161"/>
      <c r="E153" s="161"/>
      <c r="F153" s="161"/>
      <c r="G153" s="161"/>
      <c r="H153" s="161"/>
      <c r="I153" s="161"/>
      <c r="J153" s="161"/>
      <c r="K153" s="161"/>
      <c r="L153" s="161"/>
      <c r="M153" s="161"/>
      <c r="N153" s="161"/>
      <c r="O153" s="161"/>
      <c r="P153" s="161"/>
      <c r="Q153" s="161"/>
      <c r="R153" s="219"/>
      <c r="S153" s="161"/>
      <c r="T153" s="161"/>
      <c r="U153" s="161"/>
      <c r="V153" s="161"/>
      <c r="W153" s="161"/>
      <c r="X153" s="161"/>
      <c r="Y153" s="161"/>
      <c r="Z153" s="161"/>
      <c r="AA153" s="161"/>
      <c r="AB153" s="161"/>
      <c r="AC153" s="161"/>
      <c r="AD153" s="161"/>
      <c r="AE153" s="161"/>
      <c r="AF153" s="161"/>
      <c r="AG153" s="161"/>
      <c r="AH153" s="161"/>
      <c r="AI153" s="161"/>
      <c r="AJ153" s="161"/>
      <c r="AK153" s="161"/>
      <c r="AL153" s="161"/>
      <c r="AM153" s="161"/>
      <c r="AN153" s="161"/>
      <c r="AO153" s="161"/>
      <c r="AP153" s="161"/>
      <c r="AQ153" s="161"/>
      <c r="AR153" s="161"/>
      <c r="AS153" s="161"/>
      <c r="AT153" s="161"/>
      <c r="AU153" s="161"/>
      <c r="AV153" s="161"/>
      <c r="AW153" s="161"/>
      <c r="AX153" s="161"/>
      <c r="AY153" s="161"/>
      <c r="AZ153" s="161"/>
      <c r="BA153" s="161"/>
      <c r="BB153" s="161"/>
      <c r="BC153" s="161"/>
      <c r="BD153" s="161"/>
      <c r="BE153" s="161"/>
      <c r="BF153" s="161"/>
      <c r="BG153" s="161"/>
      <c r="BH153" s="161"/>
      <c r="BI153" s="161"/>
      <c r="BJ153" s="161"/>
      <c r="BK153" s="161"/>
      <c r="BL153" s="161"/>
      <c r="BM153" s="161"/>
      <c r="BN153" s="161"/>
      <c r="BO153" s="161"/>
      <c r="BP153" s="161"/>
      <c r="BQ153" s="161"/>
      <c r="BR153" s="161"/>
      <c r="BS153" s="161"/>
      <c r="BT153" s="161"/>
      <c r="BU153" s="161"/>
      <c r="BV153" s="161"/>
      <c r="BW153" s="161"/>
      <c r="BX153" s="161"/>
      <c r="BY153" s="161"/>
      <c r="BZ153" s="161"/>
      <c r="CA153" s="161"/>
      <c r="CB153" s="161"/>
      <c r="CC153" s="161"/>
      <c r="CD153" s="161"/>
      <c r="CE153" s="161"/>
      <c r="CF153" s="161"/>
      <c r="CG153" s="161"/>
      <c r="CH153" s="161"/>
      <c r="CI153" s="161"/>
      <c r="CJ153" s="161"/>
      <c r="CK153" s="161"/>
      <c r="CL153" s="161"/>
      <c r="CM153" s="161"/>
      <c r="CN153" s="161"/>
      <c r="CO153" s="161"/>
      <c r="CP153" s="161"/>
      <c r="CQ153" s="161"/>
      <c r="CR153" s="161"/>
      <c r="CS153" s="161"/>
      <c r="CT153" s="161"/>
      <c r="CU153" s="161"/>
      <c r="CV153" s="161"/>
      <c r="CW153" s="161"/>
      <c r="CX153" s="161"/>
      <c r="CY153" s="161"/>
      <c r="CZ153" s="161"/>
      <c r="DA153" s="161"/>
      <c r="DB153" s="161"/>
      <c r="DC153" s="161"/>
      <c r="DD153" s="161"/>
      <c r="DE153" s="161"/>
      <c r="DF153" s="161"/>
      <c r="DG153" s="161"/>
      <c r="DH153" s="161"/>
      <c r="DI153" s="161"/>
      <c r="DJ153" s="161"/>
      <c r="DK153" s="161"/>
      <c r="DL153" s="161"/>
      <c r="DM153" s="161"/>
      <c r="DN153" s="161"/>
      <c r="DO153" s="161"/>
      <c r="DP153" s="161"/>
      <c r="DQ153" s="161"/>
      <c r="DR153" s="161"/>
      <c r="DS153" s="161"/>
      <c r="DT153" s="161"/>
      <c r="DU153" s="161"/>
      <c r="DV153" s="161"/>
      <c r="DW153" s="161"/>
      <c r="DX153" s="161"/>
    </row>
    <row r="154" ht="13.55" customHeight="1">
      <c r="A154" s="347"/>
      <c r="B154" s="161"/>
      <c r="C154" s="161"/>
      <c r="D154" s="161"/>
      <c r="E154" s="161"/>
      <c r="F154" s="161"/>
      <c r="G154" s="161"/>
      <c r="H154" s="161"/>
      <c r="I154" s="161"/>
      <c r="J154" s="161"/>
      <c r="K154" s="161"/>
      <c r="L154" s="161"/>
      <c r="M154" s="161"/>
      <c r="N154" s="161"/>
      <c r="O154" s="161"/>
      <c r="P154" s="161"/>
      <c r="Q154" s="161"/>
      <c r="R154" s="219"/>
      <c r="S154" s="161"/>
      <c r="T154" s="161"/>
      <c r="U154" s="161"/>
      <c r="V154" s="161"/>
      <c r="W154" s="161"/>
      <c r="X154" s="161"/>
      <c r="Y154" s="161"/>
      <c r="Z154" s="161"/>
      <c r="AA154" s="161"/>
      <c r="AB154" s="161"/>
      <c r="AC154" s="161"/>
      <c r="AD154" s="161"/>
      <c r="AE154" s="161"/>
      <c r="AF154" s="161"/>
      <c r="AG154" s="161"/>
      <c r="AH154" s="161"/>
      <c r="AI154" s="161"/>
      <c r="AJ154" s="161"/>
      <c r="AK154" s="161"/>
      <c r="AL154" s="161"/>
      <c r="AM154" s="161"/>
      <c r="AN154" s="161"/>
      <c r="AO154" s="161"/>
      <c r="AP154" s="161"/>
      <c r="AQ154" s="161"/>
      <c r="AR154" s="161"/>
      <c r="AS154" s="161"/>
      <c r="AT154" s="161"/>
      <c r="AU154" s="161"/>
      <c r="AV154" s="161"/>
      <c r="AW154" s="161"/>
      <c r="AX154" s="161"/>
      <c r="AY154" s="161"/>
      <c r="AZ154" s="161"/>
      <c r="BA154" s="161"/>
      <c r="BB154" s="161"/>
      <c r="BC154" s="161"/>
      <c r="BD154" s="161"/>
      <c r="BE154" s="161"/>
      <c r="BF154" s="161"/>
      <c r="BG154" s="161"/>
      <c r="BH154" s="161"/>
      <c r="BI154" s="161"/>
      <c r="BJ154" s="161"/>
      <c r="BK154" s="161"/>
      <c r="BL154" s="161"/>
      <c r="BM154" s="161"/>
      <c r="BN154" s="161"/>
      <c r="BO154" s="161"/>
      <c r="BP154" s="161"/>
      <c r="BQ154" s="161"/>
      <c r="BR154" s="161"/>
      <c r="BS154" s="161"/>
      <c r="BT154" s="161"/>
      <c r="BU154" s="161"/>
      <c r="BV154" s="161"/>
      <c r="BW154" s="161"/>
      <c r="BX154" s="161"/>
      <c r="BY154" s="161"/>
      <c r="BZ154" s="161"/>
      <c r="CA154" s="161"/>
      <c r="CB154" s="161"/>
      <c r="CC154" s="161"/>
      <c r="CD154" s="161"/>
      <c r="CE154" s="161"/>
      <c r="CF154" s="161"/>
      <c r="CG154" s="161"/>
      <c r="CH154" s="161"/>
      <c r="CI154" s="161"/>
      <c r="CJ154" s="161"/>
      <c r="CK154" s="161"/>
      <c r="CL154" s="161"/>
      <c r="CM154" s="161"/>
      <c r="CN154" s="161"/>
      <c r="CO154" s="161"/>
      <c r="CP154" s="161"/>
      <c r="CQ154" s="161"/>
      <c r="CR154" s="161"/>
      <c r="CS154" s="161"/>
      <c r="CT154" s="161"/>
      <c r="CU154" s="161"/>
      <c r="CV154" s="161"/>
      <c r="CW154" s="161"/>
      <c r="CX154" s="161"/>
      <c r="CY154" s="161"/>
      <c r="CZ154" s="161"/>
      <c r="DA154" s="161"/>
      <c r="DB154" s="161"/>
      <c r="DC154" s="161"/>
      <c r="DD154" s="161"/>
      <c r="DE154" s="161"/>
      <c r="DF154" s="161"/>
      <c r="DG154" s="161"/>
      <c r="DH154" s="161"/>
      <c r="DI154" s="161"/>
      <c r="DJ154" s="161"/>
      <c r="DK154" s="161"/>
      <c r="DL154" s="161"/>
      <c r="DM154" s="161"/>
      <c r="DN154" s="161"/>
      <c r="DO154" s="161"/>
      <c r="DP154" s="161"/>
      <c r="DQ154" s="161"/>
      <c r="DR154" s="161"/>
      <c r="DS154" s="161"/>
      <c r="DT154" s="161"/>
      <c r="DU154" s="161"/>
      <c r="DV154" s="161"/>
      <c r="DW154" s="161"/>
      <c r="DX154" s="161"/>
    </row>
    <row r="155" ht="13.55" customHeight="1">
      <c r="A155" s="347"/>
      <c r="B155" s="161"/>
      <c r="C155" s="161"/>
      <c r="D155" s="161"/>
      <c r="E155" s="161"/>
      <c r="F155" s="161"/>
      <c r="G155" s="161"/>
      <c r="H155" s="161"/>
      <c r="I155" s="161"/>
      <c r="J155" s="161"/>
      <c r="K155" s="161"/>
      <c r="L155" s="161"/>
      <c r="M155" s="161"/>
      <c r="N155" s="161"/>
      <c r="O155" s="161"/>
      <c r="P155" s="161"/>
      <c r="Q155" s="161"/>
      <c r="R155" s="219"/>
      <c r="S155" s="161"/>
      <c r="T155" s="161"/>
      <c r="U155" s="161"/>
      <c r="V155" s="161"/>
      <c r="W155" s="161"/>
      <c r="X155" s="161"/>
      <c r="Y155" s="161"/>
      <c r="Z155" s="161"/>
      <c r="AA155" s="161"/>
      <c r="AB155" s="161"/>
      <c r="AC155" s="161"/>
      <c r="AD155" s="161"/>
      <c r="AE155" s="161"/>
      <c r="AF155" s="161"/>
      <c r="AG155" s="161"/>
      <c r="AH155" s="161"/>
      <c r="AI155" s="161"/>
      <c r="AJ155" s="161"/>
      <c r="AK155" s="161"/>
      <c r="AL155" s="161"/>
      <c r="AM155" s="161"/>
      <c r="AN155" s="161"/>
      <c r="AO155" s="161"/>
      <c r="AP155" s="161"/>
      <c r="AQ155" s="161"/>
      <c r="AR155" s="161"/>
      <c r="AS155" s="161"/>
      <c r="AT155" s="161"/>
      <c r="AU155" s="161"/>
      <c r="AV155" s="161"/>
      <c r="AW155" s="161"/>
      <c r="AX155" s="161"/>
      <c r="AY155" s="161"/>
      <c r="AZ155" s="161"/>
      <c r="BA155" s="161"/>
      <c r="BB155" s="161"/>
      <c r="BC155" s="161"/>
      <c r="BD155" s="161"/>
      <c r="BE155" s="161"/>
      <c r="BF155" s="161"/>
      <c r="BG155" s="161"/>
      <c r="BH155" s="161"/>
      <c r="BI155" s="161"/>
      <c r="BJ155" s="161"/>
      <c r="BK155" s="161"/>
      <c r="BL155" s="161"/>
      <c r="BM155" s="161"/>
      <c r="BN155" s="161"/>
      <c r="BO155" s="161"/>
      <c r="BP155" s="161"/>
      <c r="BQ155" s="161"/>
      <c r="BR155" s="161"/>
      <c r="BS155" s="161"/>
      <c r="BT155" s="161"/>
      <c r="BU155" s="161"/>
      <c r="BV155" s="161"/>
      <c r="BW155" s="161"/>
      <c r="BX155" s="161"/>
      <c r="BY155" s="161"/>
      <c r="BZ155" s="161"/>
      <c r="CA155" s="161"/>
      <c r="CB155" s="161"/>
      <c r="CC155" s="161"/>
      <c r="CD155" s="161"/>
      <c r="CE155" s="161"/>
      <c r="CF155" s="161"/>
      <c r="CG155" s="161"/>
      <c r="CH155" s="161"/>
      <c r="CI155" s="161"/>
      <c r="CJ155" s="161"/>
      <c r="CK155" s="161"/>
      <c r="CL155" s="161"/>
      <c r="CM155" s="161"/>
      <c r="CN155" s="161"/>
      <c r="CO155" s="161"/>
      <c r="CP155" s="161"/>
      <c r="CQ155" s="161"/>
      <c r="CR155" s="161"/>
      <c r="CS155" s="161"/>
      <c r="CT155" s="161"/>
      <c r="CU155" s="161"/>
      <c r="CV155" s="161"/>
      <c r="CW155" s="161"/>
      <c r="CX155" s="161"/>
      <c r="CY155" s="161"/>
      <c r="CZ155" s="161"/>
      <c r="DA155" s="161"/>
      <c r="DB155" s="161"/>
      <c r="DC155" s="161"/>
      <c r="DD155" s="161"/>
      <c r="DE155" s="161"/>
      <c r="DF155" s="161"/>
      <c r="DG155" s="161"/>
      <c r="DH155" s="161"/>
      <c r="DI155" s="161"/>
      <c r="DJ155" s="161"/>
      <c r="DK155" s="161"/>
      <c r="DL155" s="161"/>
      <c r="DM155" s="161"/>
      <c r="DN155" s="161"/>
      <c r="DO155" s="161"/>
      <c r="DP155" s="161"/>
      <c r="DQ155" s="161"/>
      <c r="DR155" s="161"/>
      <c r="DS155" s="161"/>
      <c r="DT155" s="161"/>
      <c r="DU155" s="161"/>
      <c r="DV155" s="161"/>
      <c r="DW155" s="161"/>
      <c r="DX155" s="161"/>
    </row>
    <row r="156" ht="13.55" customHeight="1">
      <c r="A156" s="347"/>
      <c r="B156" s="161"/>
      <c r="C156" s="161"/>
      <c r="D156" s="161"/>
      <c r="E156" s="161"/>
      <c r="F156" s="161"/>
      <c r="G156" s="161"/>
      <c r="H156" s="161"/>
      <c r="I156" s="161"/>
      <c r="J156" s="161"/>
      <c r="K156" s="161"/>
      <c r="L156" s="161"/>
      <c r="M156" s="161"/>
      <c r="N156" s="161"/>
      <c r="O156" s="161"/>
      <c r="P156" s="161"/>
      <c r="Q156" s="161"/>
      <c r="R156" s="219"/>
      <c r="S156" s="161"/>
      <c r="T156" s="161"/>
      <c r="U156" s="161"/>
      <c r="V156" s="161"/>
      <c r="W156" s="161"/>
      <c r="X156" s="161"/>
      <c r="Y156" s="161"/>
      <c r="Z156" s="161"/>
      <c r="AA156" s="161"/>
      <c r="AB156" s="161"/>
      <c r="AC156" s="161"/>
      <c r="AD156" s="161"/>
      <c r="AE156" s="161"/>
      <c r="AF156" s="161"/>
      <c r="AG156" s="161"/>
      <c r="AH156" s="161"/>
      <c r="AI156" s="161"/>
      <c r="AJ156" s="161"/>
      <c r="AK156" s="161"/>
      <c r="AL156" s="161"/>
      <c r="AM156" s="161"/>
      <c r="AN156" s="161"/>
      <c r="AO156" s="161"/>
      <c r="AP156" s="161"/>
      <c r="AQ156" s="161"/>
      <c r="AR156" s="161"/>
      <c r="AS156" s="161"/>
      <c r="AT156" s="161"/>
      <c r="AU156" s="161"/>
      <c r="AV156" s="161"/>
      <c r="AW156" s="161"/>
      <c r="AX156" s="161"/>
      <c r="AY156" s="161"/>
      <c r="AZ156" s="161"/>
      <c r="BA156" s="161"/>
      <c r="BB156" s="161"/>
      <c r="BC156" s="161"/>
      <c r="BD156" s="161"/>
      <c r="BE156" s="161"/>
      <c r="BF156" s="161"/>
      <c r="BG156" s="161"/>
      <c r="BH156" s="161"/>
      <c r="BI156" s="161"/>
      <c r="BJ156" s="161"/>
      <c r="BK156" s="161"/>
      <c r="BL156" s="161"/>
      <c r="BM156" s="161"/>
      <c r="BN156" s="161"/>
      <c r="BO156" s="161"/>
      <c r="BP156" s="161"/>
      <c r="BQ156" s="161"/>
      <c r="BR156" s="161"/>
      <c r="BS156" s="161"/>
      <c r="BT156" s="161"/>
      <c r="BU156" s="161"/>
      <c r="BV156" s="161"/>
      <c r="BW156" s="161"/>
      <c r="BX156" s="161"/>
      <c r="BY156" s="161"/>
      <c r="BZ156" s="161"/>
      <c r="CA156" s="161"/>
      <c r="CB156" s="161"/>
      <c r="CC156" s="161"/>
      <c r="CD156" s="161"/>
      <c r="CE156" s="161"/>
      <c r="CF156" s="161"/>
      <c r="CG156" s="161"/>
      <c r="CH156" s="161"/>
      <c r="CI156" s="161"/>
      <c r="CJ156" s="161"/>
      <c r="CK156" s="161"/>
      <c r="CL156" s="161"/>
      <c r="CM156" s="161"/>
      <c r="CN156" s="161"/>
      <c r="CO156" s="161"/>
      <c r="CP156" s="161"/>
      <c r="CQ156" s="161"/>
      <c r="CR156" s="161"/>
      <c r="CS156" s="161"/>
      <c r="CT156" s="161"/>
      <c r="CU156" s="161"/>
      <c r="CV156" s="161"/>
      <c r="CW156" s="161"/>
      <c r="CX156" s="161"/>
      <c r="CY156" s="161"/>
      <c r="CZ156" s="161"/>
      <c r="DA156" s="161"/>
      <c r="DB156" s="161"/>
      <c r="DC156" s="161"/>
      <c r="DD156" s="161"/>
      <c r="DE156" s="161"/>
      <c r="DF156" s="161"/>
      <c r="DG156" s="161"/>
      <c r="DH156" s="161"/>
      <c r="DI156" s="161"/>
      <c r="DJ156" s="161"/>
      <c r="DK156" s="161"/>
      <c r="DL156" s="161"/>
      <c r="DM156" s="161"/>
      <c r="DN156" s="161"/>
      <c r="DO156" s="161"/>
      <c r="DP156" s="161"/>
      <c r="DQ156" s="161"/>
      <c r="DR156" s="161"/>
      <c r="DS156" s="161"/>
      <c r="DT156" s="161"/>
      <c r="DU156" s="161"/>
      <c r="DV156" s="161"/>
      <c r="DW156" s="161"/>
      <c r="DX156" s="161"/>
    </row>
    <row r="157" ht="13.55" customHeight="1">
      <c r="A157" s="347"/>
      <c r="B157" s="161"/>
      <c r="C157" s="161"/>
      <c r="D157" s="161"/>
      <c r="E157" s="161"/>
      <c r="F157" s="161"/>
      <c r="G157" s="161"/>
      <c r="H157" s="161"/>
      <c r="I157" s="161"/>
      <c r="J157" s="161"/>
      <c r="K157" s="161"/>
      <c r="L157" s="161"/>
      <c r="M157" s="161"/>
      <c r="N157" s="161"/>
      <c r="O157" s="161"/>
      <c r="P157" s="161"/>
      <c r="Q157" s="161"/>
      <c r="R157" s="219"/>
      <c r="S157" s="161"/>
      <c r="T157" s="161"/>
      <c r="U157" s="161"/>
      <c r="V157" s="161"/>
      <c r="W157" s="161"/>
      <c r="X157" s="161"/>
      <c r="Y157" s="161"/>
      <c r="Z157" s="161"/>
      <c r="AA157" s="161"/>
      <c r="AB157" s="161"/>
      <c r="AC157" s="161"/>
      <c r="AD157" s="161"/>
      <c r="AE157" s="161"/>
      <c r="AF157" s="161"/>
      <c r="AG157" s="161"/>
      <c r="AH157" s="161"/>
      <c r="AI157" s="161"/>
      <c r="AJ157" s="161"/>
      <c r="AK157" s="161"/>
      <c r="AL157" s="161"/>
      <c r="AM157" s="161"/>
      <c r="AN157" s="161"/>
      <c r="AO157" s="161"/>
      <c r="AP157" s="161"/>
      <c r="AQ157" s="161"/>
      <c r="AR157" s="161"/>
      <c r="AS157" s="161"/>
      <c r="AT157" s="161"/>
      <c r="AU157" s="161"/>
      <c r="AV157" s="161"/>
      <c r="AW157" s="161"/>
      <c r="AX157" s="161"/>
      <c r="AY157" s="161"/>
      <c r="AZ157" s="161"/>
      <c r="BA157" s="161"/>
      <c r="BB157" s="161"/>
      <c r="BC157" s="161"/>
      <c r="BD157" s="161"/>
      <c r="BE157" s="161"/>
      <c r="BF157" s="161"/>
      <c r="BG157" s="161"/>
      <c r="BH157" s="161"/>
      <c r="BI157" s="161"/>
      <c r="BJ157" s="161"/>
      <c r="BK157" s="161"/>
      <c r="BL157" s="161"/>
      <c r="BM157" s="161"/>
      <c r="BN157" s="161"/>
      <c r="BO157" s="161"/>
      <c r="BP157" s="161"/>
      <c r="BQ157" s="161"/>
      <c r="BR157" s="161"/>
      <c r="BS157" s="161"/>
      <c r="BT157" s="161"/>
      <c r="BU157" s="161"/>
      <c r="BV157" s="161"/>
      <c r="BW157" s="161"/>
      <c r="BX157" s="161"/>
      <c r="BY157" s="161"/>
      <c r="BZ157" s="161"/>
      <c r="CA157" s="161"/>
      <c r="CB157" s="161"/>
      <c r="CC157" s="161"/>
      <c r="CD157" s="161"/>
      <c r="CE157" s="161"/>
      <c r="CF157" s="161"/>
      <c r="CG157" s="161"/>
      <c r="CH157" s="161"/>
      <c r="CI157" s="161"/>
      <c r="CJ157" s="161"/>
      <c r="CK157" s="161"/>
      <c r="CL157" s="161"/>
      <c r="CM157" s="161"/>
      <c r="CN157" s="161"/>
      <c r="CO157" s="161"/>
      <c r="CP157" s="161"/>
      <c r="CQ157" s="161"/>
      <c r="CR157" s="161"/>
      <c r="CS157" s="161"/>
      <c r="CT157" s="161"/>
      <c r="CU157" s="161"/>
      <c r="CV157" s="161"/>
      <c r="CW157" s="161"/>
      <c r="CX157" s="161"/>
      <c r="CY157" s="161"/>
      <c r="CZ157" s="161"/>
      <c r="DA157" s="161"/>
      <c r="DB157" s="161"/>
      <c r="DC157" s="161"/>
      <c r="DD157" s="161"/>
      <c r="DE157" s="161"/>
      <c r="DF157" s="161"/>
      <c r="DG157" s="161"/>
      <c r="DH157" s="161"/>
      <c r="DI157" s="161"/>
      <c r="DJ157" s="161"/>
      <c r="DK157" s="161"/>
      <c r="DL157" s="161"/>
      <c r="DM157" s="161"/>
      <c r="DN157" s="161"/>
      <c r="DO157" s="161"/>
      <c r="DP157" s="161"/>
      <c r="DQ157" s="161"/>
      <c r="DR157" s="161"/>
      <c r="DS157" s="161"/>
      <c r="DT157" s="161"/>
      <c r="DU157" s="161"/>
      <c r="DV157" s="161"/>
      <c r="DW157" s="161"/>
      <c r="DX157" s="161"/>
    </row>
    <row r="158" ht="13.55" customHeight="1">
      <c r="A158" s="347"/>
      <c r="B158" s="161"/>
      <c r="C158" s="161"/>
      <c r="D158" s="161"/>
      <c r="E158" s="161"/>
      <c r="F158" s="161"/>
      <c r="G158" s="161"/>
      <c r="H158" s="161"/>
      <c r="I158" s="161"/>
      <c r="J158" s="161"/>
      <c r="K158" s="161"/>
      <c r="L158" s="161"/>
      <c r="M158" s="161"/>
      <c r="N158" s="161"/>
      <c r="O158" s="161"/>
      <c r="P158" s="161"/>
      <c r="Q158" s="161"/>
      <c r="R158" s="219"/>
      <c r="S158" s="161"/>
      <c r="T158" s="161"/>
      <c r="U158" s="161"/>
      <c r="V158" s="161"/>
      <c r="W158" s="161"/>
      <c r="X158" s="161"/>
      <c r="Y158" s="161"/>
      <c r="Z158" s="161"/>
      <c r="AA158" s="161"/>
      <c r="AB158" s="161"/>
      <c r="AC158" s="161"/>
      <c r="AD158" s="161"/>
      <c r="AE158" s="161"/>
      <c r="AF158" s="161"/>
      <c r="AG158" s="161"/>
      <c r="AH158" s="161"/>
      <c r="AI158" s="161"/>
      <c r="AJ158" s="161"/>
      <c r="AK158" s="161"/>
      <c r="AL158" s="161"/>
      <c r="AM158" s="161"/>
      <c r="AN158" s="161"/>
      <c r="AO158" s="161"/>
      <c r="AP158" s="161"/>
      <c r="AQ158" s="161"/>
      <c r="AR158" s="161"/>
      <c r="AS158" s="161"/>
      <c r="AT158" s="161"/>
      <c r="AU158" s="161"/>
      <c r="AV158" s="161"/>
      <c r="AW158" s="161"/>
      <c r="AX158" s="161"/>
      <c r="AY158" s="161"/>
      <c r="AZ158" s="161"/>
      <c r="BA158" s="161"/>
      <c r="BB158" s="161"/>
      <c r="BC158" s="161"/>
      <c r="BD158" s="161"/>
      <c r="BE158" s="161"/>
      <c r="BF158" s="161"/>
      <c r="BG158" s="161"/>
      <c r="BH158" s="161"/>
      <c r="BI158" s="161"/>
      <c r="BJ158" s="161"/>
      <c r="BK158" s="161"/>
      <c r="BL158" s="161"/>
      <c r="BM158" s="161"/>
      <c r="BN158" s="161"/>
      <c r="BO158" s="161"/>
      <c r="BP158" s="161"/>
      <c r="BQ158" s="161"/>
      <c r="BR158" s="161"/>
      <c r="BS158" s="161"/>
      <c r="BT158" s="161"/>
      <c r="BU158" s="161"/>
      <c r="BV158" s="161"/>
      <c r="BW158" s="161"/>
      <c r="BX158" s="161"/>
      <c r="BY158" s="161"/>
      <c r="BZ158" s="161"/>
      <c r="CA158" s="161"/>
      <c r="CB158" s="161"/>
      <c r="CC158" s="161"/>
      <c r="CD158" s="161"/>
      <c r="CE158" s="161"/>
      <c r="CF158" s="161"/>
      <c r="CG158" s="161"/>
      <c r="CH158" s="161"/>
      <c r="CI158" s="161"/>
      <c r="CJ158" s="161"/>
      <c r="CK158" s="161"/>
      <c r="CL158" s="161"/>
      <c r="CM158" s="161"/>
      <c r="CN158" s="161"/>
      <c r="CO158" s="161"/>
      <c r="CP158" s="161"/>
      <c r="CQ158" s="161"/>
      <c r="CR158" s="161"/>
      <c r="CS158" s="161"/>
      <c r="CT158" s="161"/>
      <c r="CU158" s="161"/>
      <c r="CV158" s="161"/>
      <c r="CW158" s="161"/>
      <c r="CX158" s="161"/>
      <c r="CY158" s="161"/>
      <c r="CZ158" s="161"/>
      <c r="DA158" s="161"/>
      <c r="DB158" s="161"/>
      <c r="DC158" s="161"/>
      <c r="DD158" s="161"/>
      <c r="DE158" s="161"/>
      <c r="DF158" s="161"/>
      <c r="DG158" s="161"/>
      <c r="DH158" s="161"/>
      <c r="DI158" s="161"/>
      <c r="DJ158" s="161"/>
      <c r="DK158" s="161"/>
      <c r="DL158" s="161"/>
      <c r="DM158" s="161"/>
      <c r="DN158" s="161"/>
      <c r="DO158" s="161"/>
      <c r="DP158" s="161"/>
      <c r="DQ158" s="161"/>
      <c r="DR158" s="161"/>
      <c r="DS158" s="161"/>
      <c r="DT158" s="161"/>
      <c r="DU158" s="161"/>
      <c r="DV158" s="161"/>
      <c r="DW158" s="161"/>
      <c r="DX158" s="161"/>
    </row>
    <row r="159" ht="13.55" customHeight="1">
      <c r="A159" s="347"/>
      <c r="B159" s="161"/>
      <c r="C159" s="161"/>
      <c r="D159" s="161"/>
      <c r="E159" s="161"/>
      <c r="F159" s="161"/>
      <c r="G159" s="161"/>
      <c r="H159" s="161"/>
      <c r="I159" s="161"/>
      <c r="J159" s="161"/>
      <c r="K159" s="161"/>
      <c r="L159" s="161"/>
      <c r="M159" s="161"/>
      <c r="N159" s="161"/>
      <c r="O159" s="161"/>
      <c r="P159" s="161"/>
      <c r="Q159" s="161"/>
      <c r="R159" s="219"/>
      <c r="S159" s="161"/>
      <c r="T159" s="161"/>
      <c r="U159" s="161"/>
      <c r="V159" s="161"/>
      <c r="W159" s="161"/>
      <c r="X159" s="161"/>
      <c r="Y159" s="161"/>
      <c r="Z159" s="161"/>
      <c r="AA159" s="161"/>
      <c r="AB159" s="161"/>
      <c r="AC159" s="161"/>
      <c r="AD159" s="161"/>
      <c r="AE159" s="161"/>
      <c r="AF159" s="161"/>
      <c r="AG159" s="161"/>
      <c r="AH159" s="161"/>
      <c r="AI159" s="161"/>
      <c r="AJ159" s="161"/>
      <c r="AK159" s="161"/>
      <c r="AL159" s="161"/>
      <c r="AM159" s="161"/>
      <c r="AN159" s="161"/>
      <c r="AO159" s="161"/>
      <c r="AP159" s="161"/>
      <c r="AQ159" s="161"/>
      <c r="AR159" s="161"/>
      <c r="AS159" s="161"/>
      <c r="AT159" s="161"/>
      <c r="AU159" s="161"/>
      <c r="AV159" s="161"/>
      <c r="AW159" s="161"/>
      <c r="AX159" s="161"/>
      <c r="AY159" s="161"/>
      <c r="AZ159" s="161"/>
      <c r="BA159" s="161"/>
      <c r="BB159" s="161"/>
      <c r="BC159" s="161"/>
      <c r="BD159" s="161"/>
      <c r="BE159" s="161"/>
      <c r="BF159" s="161"/>
      <c r="BG159" s="161"/>
      <c r="BH159" s="161"/>
      <c r="BI159" s="161"/>
      <c r="BJ159" s="161"/>
      <c r="BK159" s="161"/>
      <c r="BL159" s="161"/>
      <c r="BM159" s="161"/>
      <c r="BN159" s="161"/>
      <c r="BO159" s="161"/>
      <c r="BP159" s="161"/>
      <c r="BQ159" s="161"/>
      <c r="BR159" s="161"/>
      <c r="BS159" s="161"/>
      <c r="BT159" s="161"/>
      <c r="BU159" s="161"/>
      <c r="BV159" s="161"/>
      <c r="BW159" s="161"/>
      <c r="BX159" s="161"/>
      <c r="BY159" s="161"/>
      <c r="BZ159" s="161"/>
      <c r="CA159" s="161"/>
      <c r="CB159" s="161"/>
      <c r="CC159" s="161"/>
      <c r="CD159" s="161"/>
      <c r="CE159" s="161"/>
      <c r="CF159" s="161"/>
      <c r="CG159" s="161"/>
      <c r="CH159" s="161"/>
      <c r="CI159" s="161"/>
      <c r="CJ159" s="161"/>
      <c r="CK159" s="161"/>
      <c r="CL159" s="161"/>
      <c r="CM159" s="161"/>
      <c r="CN159" s="161"/>
      <c r="CO159" s="161"/>
      <c r="CP159" s="161"/>
      <c r="CQ159" s="161"/>
      <c r="CR159" s="161"/>
      <c r="CS159" s="161"/>
      <c r="CT159" s="161"/>
      <c r="CU159" s="161"/>
      <c r="CV159" s="161"/>
      <c r="CW159" s="161"/>
      <c r="CX159" s="161"/>
      <c r="CY159" s="161"/>
      <c r="CZ159" s="161"/>
      <c r="DA159" s="161"/>
      <c r="DB159" s="161"/>
      <c r="DC159" s="161"/>
      <c r="DD159" s="161"/>
      <c r="DE159" s="161"/>
      <c r="DF159" s="161"/>
      <c r="DG159" s="161"/>
      <c r="DH159" s="161"/>
      <c r="DI159" s="161"/>
      <c r="DJ159" s="161"/>
      <c r="DK159" s="161"/>
      <c r="DL159" s="161"/>
      <c r="DM159" s="161"/>
      <c r="DN159" s="161"/>
      <c r="DO159" s="161"/>
      <c r="DP159" s="161"/>
      <c r="DQ159" s="161"/>
      <c r="DR159" s="161"/>
      <c r="DS159" s="161"/>
      <c r="DT159" s="161"/>
      <c r="DU159" s="161"/>
      <c r="DV159" s="161"/>
      <c r="DW159" s="161"/>
      <c r="DX159" s="161"/>
    </row>
    <row r="160" ht="13.55" customHeight="1">
      <c r="A160" s="347"/>
      <c r="B160" s="161"/>
      <c r="C160" s="161"/>
      <c r="D160" s="161"/>
      <c r="E160" s="161"/>
      <c r="F160" s="161"/>
      <c r="G160" s="161"/>
      <c r="H160" s="161"/>
      <c r="I160" s="161"/>
      <c r="J160" s="161"/>
      <c r="K160" s="161"/>
      <c r="L160" s="161"/>
      <c r="M160" s="161"/>
      <c r="N160" s="161"/>
      <c r="O160" s="161"/>
      <c r="P160" s="161"/>
      <c r="Q160" s="161"/>
      <c r="R160" s="219"/>
      <c r="S160" s="161"/>
      <c r="T160" s="161"/>
      <c r="U160" s="161"/>
      <c r="V160" s="161"/>
      <c r="W160" s="161"/>
      <c r="X160" s="161"/>
      <c r="Y160" s="161"/>
      <c r="Z160" s="161"/>
      <c r="AA160" s="161"/>
      <c r="AB160" s="161"/>
      <c r="AC160" s="161"/>
      <c r="AD160" s="161"/>
      <c r="AE160" s="161"/>
      <c r="AF160" s="161"/>
      <c r="AG160" s="161"/>
      <c r="AH160" s="161"/>
      <c r="AI160" s="161"/>
      <c r="AJ160" s="161"/>
      <c r="AK160" s="161"/>
      <c r="AL160" s="161"/>
      <c r="AM160" s="161"/>
      <c r="AN160" s="161"/>
      <c r="AO160" s="161"/>
      <c r="AP160" s="161"/>
      <c r="AQ160" s="161"/>
      <c r="AR160" s="161"/>
      <c r="AS160" s="161"/>
      <c r="AT160" s="161"/>
      <c r="AU160" s="161"/>
      <c r="AV160" s="161"/>
      <c r="AW160" s="161"/>
      <c r="AX160" s="161"/>
      <c r="AY160" s="161"/>
      <c r="AZ160" s="161"/>
      <c r="BA160" s="161"/>
      <c r="BB160" s="161"/>
      <c r="BC160" s="161"/>
      <c r="BD160" s="161"/>
      <c r="BE160" s="161"/>
      <c r="BF160" s="161"/>
      <c r="BG160" s="161"/>
      <c r="BH160" s="161"/>
      <c r="BI160" s="161"/>
      <c r="BJ160" s="161"/>
      <c r="BK160" s="161"/>
      <c r="BL160" s="161"/>
      <c r="BM160" s="161"/>
      <c r="BN160" s="161"/>
      <c r="BO160" s="161"/>
      <c r="BP160" s="161"/>
      <c r="BQ160" s="161"/>
      <c r="BR160" s="161"/>
      <c r="BS160" s="161"/>
      <c r="BT160" s="161"/>
      <c r="BU160" s="161"/>
      <c r="BV160" s="161"/>
      <c r="BW160" s="161"/>
      <c r="BX160" s="161"/>
      <c r="BY160" s="161"/>
      <c r="BZ160" s="161"/>
      <c r="CA160" s="161"/>
      <c r="CB160" s="161"/>
      <c r="CC160" s="161"/>
      <c r="CD160" s="161"/>
      <c r="CE160" s="161"/>
      <c r="CF160" s="161"/>
      <c r="CG160" s="161"/>
      <c r="CH160" s="161"/>
      <c r="CI160" s="161"/>
      <c r="CJ160" s="161"/>
      <c r="CK160" s="161"/>
      <c r="CL160" s="161"/>
      <c r="CM160" s="161"/>
      <c r="CN160" s="161"/>
      <c r="CO160" s="161"/>
      <c r="CP160" s="161"/>
      <c r="CQ160" s="161"/>
      <c r="CR160" s="161"/>
      <c r="CS160" s="161"/>
      <c r="CT160" s="161"/>
      <c r="CU160" s="161"/>
      <c r="CV160" s="161"/>
      <c r="CW160" s="161"/>
      <c r="CX160" s="161"/>
      <c r="CY160" s="161"/>
      <c r="CZ160" s="161"/>
      <c r="DA160" s="161"/>
      <c r="DB160" s="161"/>
      <c r="DC160" s="161"/>
      <c r="DD160" s="161"/>
      <c r="DE160" s="161"/>
      <c r="DF160" s="161"/>
      <c r="DG160" s="161"/>
      <c r="DH160" s="161"/>
      <c r="DI160" s="161"/>
      <c r="DJ160" s="161"/>
      <c r="DK160" s="161"/>
      <c r="DL160" s="161"/>
      <c r="DM160" s="161"/>
      <c r="DN160" s="161"/>
      <c r="DO160" s="161"/>
      <c r="DP160" s="161"/>
      <c r="DQ160" s="161"/>
      <c r="DR160" s="161"/>
      <c r="DS160" s="161"/>
      <c r="DT160" s="161"/>
      <c r="DU160" s="161"/>
      <c r="DV160" s="161"/>
      <c r="DW160" s="161"/>
      <c r="DX160" s="161"/>
    </row>
    <row r="161" ht="13.55" customHeight="1">
      <c r="A161" s="347"/>
      <c r="B161" s="161"/>
      <c r="C161" s="161"/>
      <c r="D161" s="161"/>
      <c r="E161" s="161"/>
      <c r="F161" s="161"/>
      <c r="G161" s="161"/>
      <c r="H161" s="161"/>
      <c r="I161" s="161"/>
      <c r="J161" s="161"/>
      <c r="K161" s="161"/>
      <c r="L161" s="161"/>
      <c r="M161" s="161"/>
      <c r="N161" s="161"/>
      <c r="O161" s="161"/>
      <c r="P161" s="161"/>
      <c r="Q161" s="161"/>
      <c r="R161" s="219"/>
      <c r="S161" s="161"/>
      <c r="T161" s="161"/>
      <c r="U161" s="161"/>
      <c r="V161" s="161"/>
      <c r="W161" s="161"/>
      <c r="X161" s="161"/>
      <c r="Y161" s="161"/>
      <c r="Z161" s="161"/>
      <c r="AA161" s="161"/>
      <c r="AB161" s="161"/>
      <c r="AC161" s="161"/>
      <c r="AD161" s="161"/>
      <c r="AE161" s="161"/>
      <c r="AF161" s="161"/>
      <c r="AG161" s="161"/>
      <c r="AH161" s="161"/>
      <c r="AI161" s="161"/>
      <c r="AJ161" s="161"/>
      <c r="AK161" s="161"/>
      <c r="AL161" s="161"/>
      <c r="AM161" s="161"/>
      <c r="AN161" s="161"/>
      <c r="AO161" s="161"/>
      <c r="AP161" s="161"/>
      <c r="AQ161" s="161"/>
      <c r="AR161" s="161"/>
      <c r="AS161" s="161"/>
      <c r="AT161" s="161"/>
      <c r="AU161" s="161"/>
      <c r="AV161" s="161"/>
      <c r="AW161" s="161"/>
      <c r="AX161" s="161"/>
      <c r="AY161" s="161"/>
      <c r="AZ161" s="161"/>
      <c r="BA161" s="161"/>
      <c r="BB161" s="161"/>
      <c r="BC161" s="161"/>
      <c r="BD161" s="161"/>
      <c r="BE161" s="161"/>
      <c r="BF161" s="161"/>
      <c r="BG161" s="161"/>
      <c r="BH161" s="161"/>
      <c r="BI161" s="161"/>
      <c r="BJ161" s="161"/>
      <c r="BK161" s="161"/>
      <c r="BL161" s="161"/>
      <c r="BM161" s="161"/>
      <c r="BN161" s="161"/>
      <c r="BO161" s="161"/>
      <c r="BP161" s="161"/>
      <c r="BQ161" s="161"/>
      <c r="BR161" s="161"/>
      <c r="BS161" s="161"/>
      <c r="BT161" s="161"/>
      <c r="BU161" s="161"/>
      <c r="BV161" s="161"/>
      <c r="BW161" s="161"/>
      <c r="BX161" s="161"/>
      <c r="BY161" s="161"/>
      <c r="BZ161" s="161"/>
      <c r="CA161" s="161"/>
      <c r="CB161" s="161"/>
      <c r="CC161" s="161"/>
      <c r="CD161" s="161"/>
      <c r="CE161" s="161"/>
      <c r="CF161" s="161"/>
      <c r="CG161" s="161"/>
      <c r="CH161" s="161"/>
      <c r="CI161" s="161"/>
      <c r="CJ161" s="161"/>
      <c r="CK161" s="161"/>
      <c r="CL161" s="161"/>
      <c r="CM161" s="161"/>
      <c r="CN161" s="161"/>
      <c r="CO161" s="161"/>
      <c r="CP161" s="161"/>
      <c r="CQ161" s="161"/>
      <c r="CR161" s="161"/>
      <c r="CS161" s="161"/>
      <c r="CT161" s="161"/>
      <c r="CU161" s="161"/>
      <c r="CV161" s="161"/>
      <c r="CW161" s="161"/>
      <c r="CX161" s="161"/>
      <c r="CY161" s="161"/>
      <c r="CZ161" s="161"/>
      <c r="DA161" s="161"/>
      <c r="DB161" s="161"/>
      <c r="DC161" s="161"/>
      <c r="DD161" s="161"/>
      <c r="DE161" s="161"/>
      <c r="DF161" s="161"/>
      <c r="DG161" s="161"/>
      <c r="DH161" s="161"/>
      <c r="DI161" s="161"/>
      <c r="DJ161" s="161"/>
      <c r="DK161" s="161"/>
      <c r="DL161" s="161"/>
      <c r="DM161" s="161"/>
      <c r="DN161" s="161"/>
      <c r="DO161" s="161"/>
      <c r="DP161" s="161"/>
      <c r="DQ161" s="161"/>
      <c r="DR161" s="161"/>
      <c r="DS161" s="161"/>
      <c r="DT161" s="161"/>
      <c r="DU161" s="161"/>
      <c r="DV161" s="161"/>
      <c r="DW161" s="161"/>
      <c r="DX161" s="161"/>
    </row>
    <row r="162" ht="13.55" customHeight="1">
      <c r="A162" s="347"/>
      <c r="B162" s="161"/>
      <c r="C162" s="161"/>
      <c r="D162" s="161"/>
      <c r="E162" s="161"/>
      <c r="F162" s="161"/>
      <c r="G162" s="161"/>
      <c r="H162" s="161"/>
      <c r="I162" s="161"/>
      <c r="J162" s="161"/>
      <c r="K162" s="161"/>
      <c r="L162" s="161"/>
      <c r="M162" s="161"/>
      <c r="N162" s="161"/>
      <c r="O162" s="161"/>
      <c r="P162" s="161"/>
      <c r="Q162" s="161"/>
      <c r="R162" s="219"/>
      <c r="S162" s="161"/>
      <c r="T162" s="161"/>
      <c r="U162" s="161"/>
      <c r="V162" s="161"/>
      <c r="W162" s="161"/>
      <c r="X162" s="161"/>
      <c r="Y162" s="161"/>
      <c r="Z162" s="161"/>
      <c r="AA162" s="161"/>
      <c r="AB162" s="161"/>
      <c r="AC162" s="161"/>
      <c r="AD162" s="161"/>
      <c r="AE162" s="161"/>
      <c r="AF162" s="161"/>
      <c r="AG162" s="161"/>
      <c r="AH162" s="161"/>
      <c r="AI162" s="161"/>
      <c r="AJ162" s="161"/>
      <c r="AK162" s="161"/>
      <c r="AL162" s="161"/>
      <c r="AM162" s="161"/>
      <c r="AN162" s="161"/>
      <c r="AO162" s="161"/>
      <c r="AP162" s="161"/>
      <c r="AQ162" s="161"/>
      <c r="AR162" s="161"/>
      <c r="AS162" s="161"/>
      <c r="AT162" s="161"/>
      <c r="AU162" s="161"/>
      <c r="AV162" s="161"/>
      <c r="AW162" s="161"/>
      <c r="AX162" s="161"/>
      <c r="AY162" s="161"/>
      <c r="AZ162" s="161"/>
      <c r="BA162" s="161"/>
      <c r="BB162" s="161"/>
      <c r="BC162" s="161"/>
      <c r="BD162" s="161"/>
      <c r="BE162" s="161"/>
      <c r="BF162" s="161"/>
      <c r="BG162" s="161"/>
      <c r="BH162" s="161"/>
      <c r="BI162" s="161"/>
      <c r="BJ162" s="161"/>
      <c r="BK162" s="161"/>
      <c r="BL162" s="161"/>
      <c r="BM162" s="161"/>
      <c r="BN162" s="161"/>
      <c r="BO162" s="161"/>
      <c r="BP162" s="161"/>
      <c r="BQ162" s="161"/>
      <c r="BR162" s="161"/>
      <c r="BS162" s="161"/>
      <c r="BT162" s="161"/>
      <c r="BU162" s="161"/>
      <c r="BV162" s="161"/>
      <c r="BW162" s="161"/>
      <c r="BX162" s="161"/>
      <c r="BY162" s="161"/>
      <c r="BZ162" s="161"/>
      <c r="CA162" s="161"/>
      <c r="CB162" s="161"/>
      <c r="CC162" s="161"/>
      <c r="CD162" s="161"/>
      <c r="CE162" s="161"/>
      <c r="CF162" s="161"/>
      <c r="CG162" s="161"/>
      <c r="CH162" s="161"/>
      <c r="CI162" s="161"/>
      <c r="CJ162" s="161"/>
      <c r="CK162" s="161"/>
      <c r="CL162" s="161"/>
      <c r="CM162" s="161"/>
      <c r="CN162" s="161"/>
      <c r="CO162" s="161"/>
      <c r="CP162" s="161"/>
      <c r="CQ162" s="161"/>
      <c r="CR162" s="161"/>
      <c r="CS162" s="161"/>
      <c r="CT162" s="161"/>
      <c r="CU162" s="161"/>
      <c r="CV162" s="161"/>
      <c r="CW162" s="161"/>
      <c r="CX162" s="161"/>
      <c r="CY162" s="161"/>
      <c r="CZ162" s="161"/>
      <c r="DA162" s="161"/>
      <c r="DB162" s="161"/>
      <c r="DC162" s="161"/>
      <c r="DD162" s="161"/>
      <c r="DE162" s="161"/>
      <c r="DF162" s="161"/>
      <c r="DG162" s="161"/>
      <c r="DH162" s="161"/>
      <c r="DI162" s="161"/>
      <c r="DJ162" s="161"/>
      <c r="DK162" s="161"/>
      <c r="DL162" s="161"/>
      <c r="DM162" s="161"/>
      <c r="DN162" s="161"/>
      <c r="DO162" s="161"/>
      <c r="DP162" s="161"/>
      <c r="DQ162" s="161"/>
      <c r="DR162" s="161"/>
      <c r="DS162" s="161"/>
      <c r="DT162" s="161"/>
      <c r="DU162" s="161"/>
      <c r="DV162" s="161"/>
      <c r="DW162" s="161"/>
      <c r="DX162" s="161"/>
    </row>
    <row r="163" ht="13.55" customHeight="1">
      <c r="A163" s="347"/>
      <c r="B163" s="161"/>
      <c r="C163" s="161"/>
      <c r="D163" s="161"/>
      <c r="E163" s="161"/>
      <c r="F163" s="161"/>
      <c r="G163" s="161"/>
      <c r="H163" s="161"/>
      <c r="I163" s="161"/>
      <c r="J163" s="161"/>
      <c r="K163" s="161"/>
      <c r="L163" s="161"/>
      <c r="M163" s="161"/>
      <c r="N163" s="161"/>
      <c r="O163" s="161"/>
      <c r="P163" s="161"/>
      <c r="Q163" s="161"/>
      <c r="R163" s="219"/>
      <c r="S163" s="161"/>
      <c r="T163" s="161"/>
      <c r="U163" s="161"/>
      <c r="V163" s="161"/>
      <c r="W163" s="161"/>
      <c r="X163" s="161"/>
      <c r="Y163" s="161"/>
      <c r="Z163" s="161"/>
      <c r="AA163" s="161"/>
      <c r="AB163" s="161"/>
      <c r="AC163" s="161"/>
      <c r="AD163" s="161"/>
      <c r="AE163" s="161"/>
      <c r="AF163" s="161"/>
      <c r="AG163" s="161"/>
      <c r="AH163" s="161"/>
      <c r="AI163" s="161"/>
      <c r="AJ163" s="161"/>
      <c r="AK163" s="161"/>
      <c r="AL163" s="161"/>
      <c r="AM163" s="161"/>
      <c r="AN163" s="161"/>
      <c r="AO163" s="161"/>
      <c r="AP163" s="161"/>
      <c r="AQ163" s="161"/>
      <c r="AR163" s="161"/>
      <c r="AS163" s="161"/>
      <c r="AT163" s="161"/>
      <c r="AU163" s="161"/>
      <c r="AV163" s="161"/>
      <c r="AW163" s="161"/>
      <c r="AX163" s="161"/>
      <c r="AY163" s="161"/>
      <c r="AZ163" s="161"/>
      <c r="BA163" s="161"/>
      <c r="BB163" s="161"/>
      <c r="BC163" s="161"/>
      <c r="BD163" s="161"/>
      <c r="BE163" s="161"/>
      <c r="BF163" s="161"/>
      <c r="BG163" s="161"/>
      <c r="BH163" s="161"/>
      <c r="BI163" s="161"/>
      <c r="BJ163" s="161"/>
      <c r="BK163" s="161"/>
      <c r="BL163" s="161"/>
      <c r="BM163" s="161"/>
      <c r="BN163" s="161"/>
      <c r="BO163" s="161"/>
      <c r="BP163" s="161"/>
      <c r="BQ163" s="161"/>
      <c r="BR163" s="161"/>
      <c r="BS163" s="161"/>
      <c r="BT163" s="161"/>
      <c r="BU163" s="161"/>
      <c r="BV163" s="161"/>
      <c r="BW163" s="161"/>
      <c r="BX163" s="161"/>
      <c r="BY163" s="161"/>
      <c r="BZ163" s="161"/>
      <c r="CA163" s="161"/>
      <c r="CB163" s="161"/>
      <c r="CC163" s="161"/>
      <c r="CD163" s="161"/>
      <c r="CE163" s="161"/>
      <c r="CF163" s="161"/>
      <c r="CG163" s="161"/>
      <c r="CH163" s="161"/>
      <c r="CI163" s="161"/>
      <c r="CJ163" s="161"/>
      <c r="CK163" s="161"/>
      <c r="CL163" s="161"/>
      <c r="CM163" s="161"/>
      <c r="CN163" s="161"/>
      <c r="CO163" s="161"/>
      <c r="CP163" s="161"/>
      <c r="CQ163" s="161"/>
      <c r="CR163" s="161"/>
      <c r="CS163" s="161"/>
      <c r="CT163" s="161"/>
      <c r="CU163" s="161"/>
      <c r="CV163" s="161"/>
      <c r="CW163" s="161"/>
      <c r="CX163" s="161"/>
      <c r="CY163" s="161"/>
      <c r="CZ163" s="161"/>
      <c r="DA163" s="161"/>
      <c r="DB163" s="161"/>
      <c r="DC163" s="161"/>
      <c r="DD163" s="161"/>
      <c r="DE163" s="161"/>
      <c r="DF163" s="161"/>
      <c r="DG163" s="161"/>
      <c r="DH163" s="161"/>
      <c r="DI163" s="161"/>
      <c r="DJ163" s="161"/>
      <c r="DK163" s="161"/>
      <c r="DL163" s="161"/>
      <c r="DM163" s="161"/>
      <c r="DN163" s="161"/>
      <c r="DO163" s="161"/>
      <c r="DP163" s="161"/>
      <c r="DQ163" s="161"/>
      <c r="DR163" s="161"/>
      <c r="DS163" s="161"/>
      <c r="DT163" s="161"/>
      <c r="DU163" s="161"/>
      <c r="DV163" s="161"/>
      <c r="DW163" s="161"/>
      <c r="DX163" s="161"/>
    </row>
    <row r="164" ht="13.55" customHeight="1">
      <c r="A164" s="347"/>
      <c r="B164" s="161"/>
      <c r="C164" s="161"/>
      <c r="D164" s="161"/>
      <c r="E164" s="161"/>
      <c r="F164" s="161"/>
      <c r="G164" s="161"/>
      <c r="H164" s="161"/>
      <c r="I164" s="161"/>
      <c r="J164" s="161"/>
      <c r="K164" s="161"/>
      <c r="L164" s="161"/>
      <c r="M164" s="161"/>
      <c r="N164" s="161"/>
      <c r="O164" s="161"/>
      <c r="P164" s="161"/>
      <c r="Q164" s="161"/>
      <c r="R164" s="219"/>
      <c r="S164" s="161"/>
      <c r="T164" s="161"/>
      <c r="U164" s="161"/>
      <c r="V164" s="161"/>
      <c r="W164" s="161"/>
      <c r="X164" s="161"/>
      <c r="Y164" s="161"/>
      <c r="Z164" s="161"/>
      <c r="AA164" s="161"/>
      <c r="AB164" s="161"/>
      <c r="AC164" s="161"/>
      <c r="AD164" s="161"/>
      <c r="AE164" s="161"/>
      <c r="AF164" s="161"/>
      <c r="AG164" s="161"/>
      <c r="AH164" s="161"/>
      <c r="AI164" s="161"/>
      <c r="AJ164" s="161"/>
      <c r="AK164" s="161"/>
      <c r="AL164" s="161"/>
      <c r="AM164" s="161"/>
      <c r="AN164" s="161"/>
      <c r="AO164" s="161"/>
      <c r="AP164" s="161"/>
      <c r="AQ164" s="161"/>
      <c r="AR164" s="161"/>
      <c r="AS164" s="161"/>
      <c r="AT164" s="161"/>
      <c r="AU164" s="161"/>
      <c r="AV164" s="161"/>
      <c r="AW164" s="161"/>
      <c r="AX164" s="161"/>
      <c r="AY164" s="161"/>
      <c r="AZ164" s="161"/>
      <c r="BA164" s="161"/>
      <c r="BB164" s="161"/>
      <c r="BC164" s="161"/>
      <c r="BD164" s="161"/>
      <c r="BE164" s="161"/>
      <c r="BF164" s="161"/>
      <c r="BG164" s="161"/>
      <c r="BH164" s="161"/>
      <c r="BI164" s="161"/>
      <c r="BJ164" s="161"/>
      <c r="BK164" s="161"/>
      <c r="BL164" s="161"/>
      <c r="BM164" s="161"/>
      <c r="BN164" s="161"/>
      <c r="BO164" s="161"/>
      <c r="BP164" s="161"/>
      <c r="BQ164" s="161"/>
      <c r="BR164" s="161"/>
      <c r="BS164" s="161"/>
      <c r="BT164" s="161"/>
      <c r="BU164" s="161"/>
      <c r="BV164" s="161"/>
      <c r="BW164" s="161"/>
      <c r="BX164" s="161"/>
      <c r="BY164" s="161"/>
      <c r="BZ164" s="161"/>
      <c r="CA164" s="161"/>
      <c r="CB164" s="161"/>
      <c r="CC164" s="161"/>
      <c r="CD164" s="161"/>
      <c r="CE164" s="161"/>
      <c r="CF164" s="161"/>
      <c r="CG164" s="161"/>
      <c r="CH164" s="161"/>
      <c r="CI164" s="161"/>
      <c r="CJ164" s="161"/>
      <c r="CK164" s="161"/>
      <c r="CL164" s="161"/>
      <c r="CM164" s="161"/>
      <c r="CN164" s="161"/>
      <c r="CO164" s="161"/>
      <c r="CP164" s="161"/>
      <c r="CQ164" s="161"/>
      <c r="CR164" s="161"/>
      <c r="CS164" s="161"/>
      <c r="CT164" s="161"/>
      <c r="CU164" s="161"/>
      <c r="CV164" s="161"/>
      <c r="CW164" s="161"/>
      <c r="CX164" s="161"/>
      <c r="CY164" s="161"/>
      <c r="CZ164" s="161"/>
      <c r="DA164" s="161"/>
      <c r="DB164" s="161"/>
      <c r="DC164" s="161"/>
      <c r="DD164" s="161"/>
      <c r="DE164" s="161"/>
      <c r="DF164" s="161"/>
      <c r="DG164" s="161"/>
      <c r="DH164" s="161"/>
      <c r="DI164" s="161"/>
      <c r="DJ164" s="161"/>
      <c r="DK164" s="161"/>
      <c r="DL164" s="161"/>
      <c r="DM164" s="161"/>
      <c r="DN164" s="161"/>
      <c r="DO164" s="161"/>
      <c r="DP164" s="161"/>
      <c r="DQ164" s="161"/>
      <c r="DR164" s="161"/>
      <c r="DS164" s="161"/>
      <c r="DT164" s="161"/>
      <c r="DU164" s="161"/>
      <c r="DV164" s="161"/>
      <c r="DW164" s="161"/>
      <c r="DX164" s="161"/>
    </row>
    <row r="165" ht="13.55" customHeight="1">
      <c r="A165" s="347"/>
      <c r="B165" s="161"/>
      <c r="C165" s="161"/>
      <c r="D165" s="161"/>
      <c r="E165" s="161"/>
      <c r="F165" s="161"/>
      <c r="G165" s="161"/>
      <c r="H165" s="161"/>
      <c r="I165" s="161"/>
      <c r="J165" s="161"/>
      <c r="K165" s="161"/>
      <c r="L165" s="161"/>
      <c r="M165" s="161"/>
      <c r="N165" s="161"/>
      <c r="O165" s="161"/>
      <c r="P165" s="161"/>
      <c r="Q165" s="161"/>
      <c r="R165" s="219"/>
      <c r="S165" s="161"/>
      <c r="T165" s="161"/>
      <c r="U165" s="161"/>
      <c r="V165" s="161"/>
      <c r="W165" s="161"/>
      <c r="X165" s="161"/>
      <c r="Y165" s="161"/>
      <c r="Z165" s="161"/>
      <c r="AA165" s="161"/>
      <c r="AB165" s="161"/>
      <c r="AC165" s="161"/>
      <c r="AD165" s="161"/>
      <c r="AE165" s="161"/>
      <c r="AF165" s="161"/>
      <c r="AG165" s="161"/>
      <c r="AH165" s="161"/>
      <c r="AI165" s="161"/>
      <c r="AJ165" s="161"/>
      <c r="AK165" s="161"/>
      <c r="AL165" s="161"/>
      <c r="AM165" s="161"/>
      <c r="AN165" s="161"/>
      <c r="AO165" s="161"/>
      <c r="AP165" s="161"/>
      <c r="AQ165" s="161"/>
      <c r="AR165" s="161"/>
      <c r="AS165" s="161"/>
      <c r="AT165" s="161"/>
      <c r="AU165" s="161"/>
      <c r="AV165" s="161"/>
      <c r="AW165" s="161"/>
      <c r="AX165" s="161"/>
      <c r="AY165" s="161"/>
      <c r="AZ165" s="161"/>
      <c r="BA165" s="161"/>
      <c r="BB165" s="161"/>
      <c r="BC165" s="161"/>
      <c r="BD165" s="161"/>
      <c r="BE165" s="161"/>
      <c r="BF165" s="161"/>
      <c r="BG165" s="161"/>
      <c r="BH165" s="161"/>
      <c r="BI165" s="161"/>
      <c r="BJ165" s="161"/>
      <c r="BK165" s="161"/>
      <c r="BL165" s="161"/>
      <c r="BM165" s="161"/>
      <c r="BN165" s="161"/>
      <c r="BO165" s="161"/>
      <c r="BP165" s="161"/>
      <c r="BQ165" s="161"/>
      <c r="BR165" s="161"/>
      <c r="BS165" s="161"/>
      <c r="BT165" s="161"/>
      <c r="BU165" s="161"/>
      <c r="BV165" s="161"/>
      <c r="BW165" s="161"/>
      <c r="BX165" s="161"/>
      <c r="BY165" s="161"/>
      <c r="BZ165" s="161"/>
      <c r="CA165" s="161"/>
      <c r="CB165" s="161"/>
      <c r="CC165" s="161"/>
      <c r="CD165" s="161"/>
      <c r="CE165" s="161"/>
      <c r="CF165" s="161"/>
      <c r="CG165" s="161"/>
      <c r="CH165" s="161"/>
      <c r="CI165" s="161"/>
      <c r="CJ165" s="161"/>
      <c r="CK165" s="161"/>
      <c r="CL165" s="161"/>
      <c r="CM165" s="161"/>
      <c r="CN165" s="161"/>
      <c r="CO165" s="161"/>
      <c r="CP165" s="161"/>
      <c r="CQ165" s="161"/>
      <c r="CR165" s="161"/>
      <c r="CS165" s="161"/>
      <c r="CT165" s="161"/>
      <c r="CU165" s="161"/>
      <c r="CV165" s="161"/>
      <c r="CW165" s="161"/>
      <c r="CX165" s="161"/>
      <c r="CY165" s="161"/>
      <c r="CZ165" s="161"/>
      <c r="DA165" s="161"/>
      <c r="DB165" s="161"/>
      <c r="DC165" s="161"/>
      <c r="DD165" s="161"/>
      <c r="DE165" s="161"/>
      <c r="DF165" s="161"/>
      <c r="DG165" s="161"/>
      <c r="DH165" s="161"/>
      <c r="DI165" s="161"/>
      <c r="DJ165" s="161"/>
      <c r="DK165" s="161"/>
      <c r="DL165" s="161"/>
      <c r="DM165" s="161"/>
      <c r="DN165" s="161"/>
      <c r="DO165" s="161"/>
      <c r="DP165" s="161"/>
      <c r="DQ165" s="161"/>
      <c r="DR165" s="161"/>
      <c r="DS165" s="161"/>
      <c r="DT165" s="161"/>
      <c r="DU165" s="161"/>
      <c r="DV165" s="161"/>
      <c r="DW165" s="161"/>
      <c r="DX165" s="161"/>
    </row>
    <row r="166" ht="13.55" customHeight="1">
      <c r="A166" s="347"/>
      <c r="B166" s="161"/>
      <c r="C166" s="161"/>
      <c r="D166" s="161"/>
      <c r="E166" s="161"/>
      <c r="F166" s="161"/>
      <c r="G166" s="161"/>
      <c r="H166" s="161"/>
      <c r="I166" s="161"/>
      <c r="J166" s="161"/>
      <c r="K166" s="161"/>
      <c r="L166" s="161"/>
      <c r="M166" s="161"/>
      <c r="N166" s="161"/>
      <c r="O166" s="161"/>
      <c r="P166" s="161"/>
      <c r="Q166" s="161"/>
      <c r="R166" s="219"/>
      <c r="S166" s="161"/>
      <c r="T166" s="161"/>
      <c r="U166" s="161"/>
      <c r="V166" s="161"/>
      <c r="W166" s="161"/>
      <c r="X166" s="161"/>
      <c r="Y166" s="161"/>
      <c r="Z166" s="161"/>
      <c r="AA166" s="161"/>
      <c r="AB166" s="161"/>
      <c r="AC166" s="161"/>
      <c r="AD166" s="161"/>
      <c r="AE166" s="161"/>
      <c r="AF166" s="161"/>
      <c r="AG166" s="161"/>
      <c r="AH166" s="161"/>
      <c r="AI166" s="161"/>
      <c r="AJ166" s="161"/>
      <c r="AK166" s="161"/>
      <c r="AL166" s="161"/>
      <c r="AM166" s="161"/>
      <c r="AN166" s="161"/>
      <c r="AO166" s="161"/>
      <c r="AP166" s="161"/>
      <c r="AQ166" s="161"/>
      <c r="AR166" s="161"/>
      <c r="AS166" s="161"/>
      <c r="AT166" s="161"/>
      <c r="AU166" s="161"/>
      <c r="AV166" s="161"/>
      <c r="AW166" s="161"/>
      <c r="AX166" s="161"/>
      <c r="AY166" s="161"/>
      <c r="AZ166" s="161"/>
      <c r="BA166" s="161"/>
      <c r="BB166" s="161"/>
      <c r="BC166" s="161"/>
      <c r="BD166" s="161"/>
      <c r="BE166" s="161"/>
      <c r="BF166" s="161"/>
      <c r="BG166" s="161"/>
      <c r="BH166" s="161"/>
      <c r="BI166" s="161"/>
      <c r="BJ166" s="161"/>
      <c r="BK166" s="161"/>
      <c r="BL166" s="161"/>
      <c r="BM166" s="161"/>
      <c r="BN166" s="161"/>
      <c r="BO166" s="161"/>
      <c r="BP166" s="161"/>
      <c r="BQ166" s="161"/>
      <c r="BR166" s="161"/>
      <c r="BS166" s="161"/>
      <c r="BT166" s="161"/>
      <c r="BU166" s="161"/>
      <c r="BV166" s="161"/>
      <c r="BW166" s="161"/>
      <c r="BX166" s="161"/>
      <c r="BY166" s="161"/>
      <c r="BZ166" s="161"/>
      <c r="CA166" s="161"/>
      <c r="CB166" s="161"/>
      <c r="CC166" s="161"/>
      <c r="CD166" s="161"/>
      <c r="CE166" s="161"/>
      <c r="CF166" s="161"/>
      <c r="CG166" s="161"/>
      <c r="CH166" s="161"/>
      <c r="CI166" s="161"/>
      <c r="CJ166" s="161"/>
      <c r="CK166" s="161"/>
      <c r="CL166" s="161"/>
      <c r="CM166" s="161"/>
      <c r="CN166" s="161"/>
      <c r="CO166" s="161"/>
      <c r="CP166" s="161"/>
      <c r="CQ166" s="161"/>
      <c r="CR166" s="161"/>
      <c r="CS166" s="161"/>
      <c r="CT166" s="161"/>
      <c r="CU166" s="161"/>
      <c r="CV166" s="161"/>
      <c r="CW166" s="161"/>
      <c r="CX166" s="161"/>
      <c r="CY166" s="161"/>
      <c r="CZ166" s="161"/>
      <c r="DA166" s="161"/>
      <c r="DB166" s="161"/>
      <c r="DC166" s="161"/>
      <c r="DD166" s="161"/>
      <c r="DE166" s="161"/>
      <c r="DF166" s="161"/>
      <c r="DG166" s="161"/>
      <c r="DH166" s="161"/>
      <c r="DI166" s="161"/>
      <c r="DJ166" s="161"/>
      <c r="DK166" s="161"/>
      <c r="DL166" s="161"/>
      <c r="DM166" s="161"/>
      <c r="DN166" s="161"/>
      <c r="DO166" s="161"/>
      <c r="DP166" s="161"/>
      <c r="DQ166" s="161"/>
      <c r="DR166" s="161"/>
      <c r="DS166" s="161"/>
      <c r="DT166" s="161"/>
      <c r="DU166" s="161"/>
      <c r="DV166" s="161"/>
      <c r="DW166" s="161"/>
      <c r="DX166" s="161"/>
    </row>
    <row r="167" ht="13.55" customHeight="1">
      <c r="A167" s="347"/>
      <c r="B167" s="161"/>
      <c r="C167" s="161"/>
      <c r="D167" s="161"/>
      <c r="E167" s="161"/>
      <c r="F167" s="161"/>
      <c r="G167" s="161"/>
      <c r="H167" s="161"/>
      <c r="I167" s="161"/>
      <c r="J167" s="161"/>
      <c r="K167" s="161"/>
      <c r="L167" s="161"/>
      <c r="M167" s="161"/>
      <c r="N167" s="161"/>
      <c r="O167" s="161"/>
      <c r="P167" s="161"/>
      <c r="Q167" s="161"/>
      <c r="R167" s="219"/>
      <c r="S167" s="161"/>
      <c r="T167" s="161"/>
      <c r="U167" s="161"/>
      <c r="V167" s="161"/>
      <c r="W167" s="161"/>
      <c r="X167" s="161"/>
      <c r="Y167" s="161"/>
      <c r="Z167" s="161"/>
      <c r="AA167" s="161"/>
      <c r="AB167" s="161"/>
      <c r="AC167" s="161"/>
      <c r="AD167" s="161"/>
      <c r="AE167" s="161"/>
      <c r="AF167" s="161"/>
      <c r="AG167" s="161"/>
      <c r="AH167" s="161"/>
      <c r="AI167" s="161"/>
      <c r="AJ167" s="161"/>
      <c r="AK167" s="161"/>
      <c r="AL167" s="161"/>
      <c r="AM167" s="161"/>
      <c r="AN167" s="161"/>
      <c r="AO167" s="161"/>
      <c r="AP167" s="161"/>
      <c r="AQ167" s="161"/>
      <c r="AR167" s="161"/>
      <c r="AS167" s="161"/>
      <c r="AT167" s="161"/>
      <c r="AU167" s="161"/>
      <c r="AV167" s="161"/>
      <c r="AW167" s="161"/>
      <c r="AX167" s="161"/>
      <c r="AY167" s="161"/>
      <c r="AZ167" s="161"/>
      <c r="BA167" s="161"/>
      <c r="BB167" s="161"/>
      <c r="BC167" s="161"/>
      <c r="BD167" s="161"/>
      <c r="BE167" s="161"/>
      <c r="BF167" s="161"/>
      <c r="BG167" s="161"/>
      <c r="BH167" s="161"/>
      <c r="BI167" s="161"/>
      <c r="BJ167" s="161"/>
      <c r="BK167" s="161"/>
      <c r="BL167" s="161"/>
      <c r="BM167" s="161"/>
      <c r="BN167" s="161"/>
      <c r="BO167" s="161"/>
      <c r="BP167" s="161"/>
      <c r="BQ167" s="161"/>
      <c r="BR167" s="161"/>
      <c r="BS167" s="161"/>
      <c r="BT167" s="161"/>
      <c r="BU167" s="161"/>
      <c r="BV167" s="161"/>
      <c r="BW167" s="161"/>
      <c r="BX167" s="161"/>
      <c r="BY167" s="161"/>
      <c r="BZ167" s="161"/>
      <c r="CA167" s="161"/>
      <c r="CB167" s="161"/>
      <c r="CC167" s="161"/>
      <c r="CD167" s="161"/>
      <c r="CE167" s="161"/>
      <c r="CF167" s="161"/>
      <c r="CG167" s="161"/>
      <c r="CH167" s="161"/>
      <c r="CI167" s="161"/>
      <c r="CJ167" s="161"/>
      <c r="CK167" s="161"/>
      <c r="CL167" s="161"/>
      <c r="CM167" s="161"/>
      <c r="CN167" s="161"/>
      <c r="CO167" s="161"/>
      <c r="CP167" s="161"/>
      <c r="CQ167" s="161"/>
      <c r="CR167" s="161"/>
      <c r="CS167" s="161"/>
      <c r="CT167" s="161"/>
      <c r="CU167" s="161"/>
      <c r="CV167" s="161"/>
      <c r="CW167" s="161"/>
      <c r="CX167" s="161"/>
      <c r="CY167" s="161"/>
      <c r="CZ167" s="161"/>
      <c r="DA167" s="161"/>
      <c r="DB167" s="161"/>
      <c r="DC167" s="161"/>
      <c r="DD167" s="161"/>
      <c r="DE167" s="161"/>
      <c r="DF167" s="161"/>
      <c r="DG167" s="161"/>
      <c r="DH167" s="161"/>
      <c r="DI167" s="161"/>
      <c r="DJ167" s="161"/>
      <c r="DK167" s="161"/>
      <c r="DL167" s="161"/>
      <c r="DM167" s="161"/>
      <c r="DN167" s="161"/>
      <c r="DO167" s="161"/>
      <c r="DP167" s="161"/>
      <c r="DQ167" s="161"/>
      <c r="DR167" s="161"/>
      <c r="DS167" s="161"/>
      <c r="DT167" s="161"/>
      <c r="DU167" s="161"/>
      <c r="DV167" s="161"/>
      <c r="DW167" s="161"/>
      <c r="DX167" s="161"/>
    </row>
    <row r="168" ht="13.55" customHeight="1">
      <c r="A168" s="347"/>
      <c r="B168" s="161"/>
      <c r="C168" s="161"/>
      <c r="D168" s="161"/>
      <c r="E168" s="161"/>
      <c r="F168" s="161"/>
      <c r="G168" s="161"/>
      <c r="H168" s="161"/>
      <c r="I168" s="161"/>
      <c r="J168" s="161"/>
      <c r="K168" s="161"/>
      <c r="L168" s="161"/>
      <c r="M168" s="161"/>
      <c r="N168" s="161"/>
      <c r="O168" s="161"/>
      <c r="P168" s="161"/>
      <c r="Q168" s="161"/>
      <c r="R168" s="219"/>
      <c r="S168" s="161"/>
      <c r="T168" s="161"/>
      <c r="U168" s="161"/>
      <c r="V168" s="161"/>
      <c r="W168" s="161"/>
      <c r="X168" s="161"/>
      <c r="Y168" s="161"/>
      <c r="Z168" s="161"/>
      <c r="AA168" s="161"/>
      <c r="AB168" s="161"/>
      <c r="AC168" s="161"/>
      <c r="AD168" s="161"/>
      <c r="AE168" s="161"/>
      <c r="AF168" s="161"/>
      <c r="AG168" s="161"/>
      <c r="AH168" s="161"/>
      <c r="AI168" s="161"/>
      <c r="AJ168" s="161"/>
      <c r="AK168" s="161"/>
      <c r="AL168" s="161"/>
      <c r="AM168" s="161"/>
      <c r="AN168" s="161"/>
      <c r="AO168" s="161"/>
      <c r="AP168" s="161"/>
      <c r="AQ168" s="161"/>
      <c r="AR168" s="161"/>
      <c r="AS168" s="161"/>
      <c r="AT168" s="161"/>
      <c r="AU168" s="161"/>
      <c r="AV168" s="161"/>
      <c r="AW168" s="161"/>
      <c r="AX168" s="161"/>
      <c r="AY168" s="161"/>
      <c r="AZ168" s="161"/>
      <c r="BA168" s="161"/>
      <c r="BB168" s="161"/>
      <c r="BC168" s="161"/>
      <c r="BD168" s="161"/>
      <c r="BE168" s="161"/>
      <c r="BF168" s="161"/>
      <c r="BG168" s="161"/>
      <c r="BH168" s="161"/>
      <c r="BI168" s="161"/>
      <c r="BJ168" s="161"/>
      <c r="BK168" s="161"/>
      <c r="BL168" s="161"/>
      <c r="BM168" s="161"/>
      <c r="BN168" s="161"/>
      <c r="BO168" s="161"/>
      <c r="BP168" s="161"/>
      <c r="BQ168" s="161"/>
      <c r="BR168" s="161"/>
      <c r="BS168" s="161"/>
      <c r="BT168" s="161"/>
      <c r="BU168" s="161"/>
      <c r="BV168" s="161"/>
      <c r="BW168" s="161"/>
      <c r="BX168" s="161"/>
      <c r="BY168" s="161"/>
      <c r="BZ168" s="161"/>
      <c r="CA168" s="161"/>
      <c r="CB168" s="161"/>
      <c r="CC168" s="161"/>
      <c r="CD168" s="161"/>
      <c r="CE168" s="161"/>
      <c r="CF168" s="161"/>
      <c r="CG168" s="161"/>
      <c r="CH168" s="161"/>
      <c r="CI168" s="161"/>
      <c r="CJ168" s="161"/>
      <c r="CK168" s="161"/>
      <c r="CL168" s="161"/>
      <c r="CM168" s="161"/>
      <c r="CN168" s="161"/>
      <c r="CO168" s="161"/>
      <c r="CP168" s="161"/>
      <c r="CQ168" s="161"/>
      <c r="CR168" s="161"/>
      <c r="CS168" s="161"/>
      <c r="CT168" s="161"/>
      <c r="CU168" s="161"/>
      <c r="CV168" s="161"/>
      <c r="CW168" s="161"/>
      <c r="CX168" s="161"/>
      <c r="CY168" s="161"/>
      <c r="CZ168" s="161"/>
      <c r="DA168" s="161"/>
      <c r="DB168" s="161"/>
      <c r="DC168" s="161"/>
      <c r="DD168" s="161"/>
      <c r="DE168" s="161"/>
      <c r="DF168" s="161"/>
      <c r="DG168" s="161"/>
      <c r="DH168" s="161"/>
      <c r="DI168" s="161"/>
      <c r="DJ168" s="161"/>
      <c r="DK168" s="161"/>
      <c r="DL168" s="161"/>
      <c r="DM168" s="161"/>
      <c r="DN168" s="161"/>
      <c r="DO168" s="161"/>
      <c r="DP168" s="161"/>
      <c r="DQ168" s="161"/>
      <c r="DR168" s="161"/>
      <c r="DS168" s="161"/>
      <c r="DT168" s="161"/>
      <c r="DU168" s="161"/>
      <c r="DV168" s="161"/>
      <c r="DW168" s="161"/>
      <c r="DX168" s="161"/>
    </row>
    <row r="169" ht="13.55" customHeight="1">
      <c r="A169" s="654"/>
      <c r="B169" s="655"/>
      <c r="C169" s="655"/>
      <c r="D169" s="655"/>
      <c r="E169" s="655"/>
      <c r="F169" s="655"/>
      <c r="G169" s="655"/>
      <c r="H169" s="655"/>
      <c r="I169" s="655"/>
      <c r="J169" s="655"/>
      <c r="K169" s="655"/>
      <c r="L169" s="655"/>
      <c r="M169" s="655"/>
      <c r="N169" s="655"/>
      <c r="O169" s="655"/>
      <c r="P169" s="655"/>
      <c r="Q169" s="655"/>
      <c r="R169" s="656"/>
      <c r="S169" s="655"/>
      <c r="T169" s="655"/>
      <c r="U169" s="655"/>
      <c r="V169" s="655"/>
      <c r="W169" s="655"/>
      <c r="X169" s="655"/>
      <c r="Y169" s="655"/>
      <c r="Z169" s="655"/>
      <c r="AA169" s="655"/>
      <c r="AB169" s="655"/>
      <c r="AC169" s="655"/>
      <c r="AD169" s="655"/>
      <c r="AE169" s="655"/>
      <c r="AF169" s="655"/>
      <c r="AG169" s="655"/>
      <c r="AH169" s="655"/>
      <c r="AI169" s="655"/>
      <c r="AJ169" s="655"/>
      <c r="AK169" s="655"/>
      <c r="AL169" s="655"/>
      <c r="AM169" s="655"/>
      <c r="AN169" s="655"/>
      <c r="AO169" s="655"/>
      <c r="AP169" s="655"/>
      <c r="AQ169" s="655"/>
      <c r="AR169" s="655"/>
      <c r="AS169" s="655"/>
      <c r="AT169" s="655"/>
      <c r="AU169" s="655"/>
      <c r="AV169" s="655"/>
      <c r="AW169" s="655"/>
      <c r="AX169" s="655"/>
      <c r="AY169" s="655"/>
      <c r="AZ169" s="655"/>
      <c r="BA169" s="655"/>
      <c r="BB169" s="655"/>
      <c r="BC169" s="655"/>
      <c r="BD169" s="655"/>
      <c r="BE169" s="655"/>
      <c r="BF169" s="655"/>
      <c r="BG169" s="655"/>
      <c r="BH169" s="655"/>
      <c r="BI169" s="655"/>
      <c r="BJ169" s="655"/>
      <c r="BK169" s="655"/>
      <c r="BL169" s="655"/>
      <c r="BM169" s="655"/>
      <c r="BN169" s="655"/>
      <c r="BO169" s="655"/>
      <c r="BP169" s="655"/>
      <c r="BQ169" s="655"/>
      <c r="BR169" s="655"/>
      <c r="BS169" s="655"/>
      <c r="BT169" s="655"/>
      <c r="BU169" s="655"/>
      <c r="BV169" s="655"/>
      <c r="BW169" s="655"/>
      <c r="BX169" s="655"/>
      <c r="BY169" s="655"/>
      <c r="BZ169" s="655"/>
      <c r="CA169" s="655"/>
      <c r="CB169" s="655"/>
      <c r="CC169" s="655"/>
      <c r="CD169" s="655"/>
      <c r="CE169" s="655"/>
      <c r="CF169" s="655"/>
      <c r="CG169" s="655"/>
      <c r="CH169" s="655"/>
      <c r="CI169" s="655"/>
      <c r="CJ169" s="655"/>
      <c r="CK169" s="655"/>
      <c r="CL169" s="655"/>
      <c r="CM169" s="655"/>
      <c r="CN169" s="655"/>
      <c r="CO169" s="655"/>
      <c r="CP169" s="655"/>
      <c r="CQ169" s="655"/>
      <c r="CR169" s="655"/>
      <c r="CS169" s="655"/>
      <c r="CT169" s="655"/>
      <c r="CU169" s="655"/>
      <c r="CV169" s="655"/>
      <c r="CW169" s="655"/>
      <c r="CX169" s="655"/>
      <c r="CY169" s="655"/>
      <c r="CZ169" s="655"/>
      <c r="DA169" s="655"/>
      <c r="DB169" s="655"/>
      <c r="DC169" s="655"/>
      <c r="DD169" s="655"/>
      <c r="DE169" s="655"/>
      <c r="DF169" s="655"/>
      <c r="DG169" s="655"/>
      <c r="DH169" s="655"/>
      <c r="DI169" s="655"/>
      <c r="DJ169" s="655"/>
      <c r="DK169" s="655"/>
      <c r="DL169" s="655"/>
      <c r="DM169" s="655"/>
      <c r="DN169" s="655"/>
      <c r="DO169" s="655"/>
      <c r="DP169" s="655"/>
      <c r="DQ169" s="655"/>
      <c r="DR169" s="655"/>
      <c r="DS169" s="655"/>
      <c r="DT169" s="655"/>
      <c r="DU169" s="655"/>
      <c r="DV169" s="655"/>
      <c r="DW169" s="655"/>
      <c r="DX169" s="655"/>
    </row>
  </sheetData>
  <mergeCells count="332">
    <mergeCell ref="B9:B10"/>
    <mergeCell ref="C9:E9"/>
    <mergeCell ref="F9:H10"/>
    <mergeCell ref="I9:K9"/>
    <mergeCell ref="L9:N9"/>
    <mergeCell ref="O9:P9"/>
    <mergeCell ref="D11:E11"/>
    <mergeCell ref="F11:H11"/>
    <mergeCell ref="D15:E15"/>
    <mergeCell ref="F15:H15"/>
    <mergeCell ref="F12:H12"/>
    <mergeCell ref="T9:V9"/>
    <mergeCell ref="W9:X9"/>
    <mergeCell ref="Y9:AA9"/>
    <mergeCell ref="AB9:AD9"/>
    <mergeCell ref="AE9:AG9"/>
    <mergeCell ref="AH9:AH10"/>
    <mergeCell ref="AI9:AI10"/>
    <mergeCell ref="D10:E10"/>
    <mergeCell ref="T10:U10"/>
    <mergeCell ref="R1:R32"/>
    <mergeCell ref="C2:D2"/>
    <mergeCell ref="F2:H6"/>
    <mergeCell ref="J2:M5"/>
    <mergeCell ref="C3:D3"/>
    <mergeCell ref="D19:E19"/>
    <mergeCell ref="F19:H19"/>
    <mergeCell ref="D23:E23"/>
    <mergeCell ref="F23:H23"/>
    <mergeCell ref="D27:E27"/>
    <mergeCell ref="F27:H27"/>
    <mergeCell ref="D31:E31"/>
    <mergeCell ref="F31:H31"/>
    <mergeCell ref="T11:U11"/>
    <mergeCell ref="D12:E12"/>
    <mergeCell ref="T12:U12"/>
    <mergeCell ref="D13:E13"/>
    <mergeCell ref="F13:H13"/>
    <mergeCell ref="T13:U13"/>
    <mergeCell ref="D14:E14"/>
    <mergeCell ref="F14:H14"/>
    <mergeCell ref="T14:U14"/>
    <mergeCell ref="T15:U15"/>
    <mergeCell ref="D16:E16"/>
    <mergeCell ref="F16:H16"/>
    <mergeCell ref="T16:U16"/>
    <mergeCell ref="D17:E17"/>
    <mergeCell ref="F17:H17"/>
    <mergeCell ref="T17:U17"/>
    <mergeCell ref="D18:E18"/>
    <mergeCell ref="F18:H18"/>
    <mergeCell ref="T18:U18"/>
    <mergeCell ref="T19:U19"/>
    <mergeCell ref="D20:E20"/>
    <mergeCell ref="F20:H20"/>
    <mergeCell ref="T20:U20"/>
    <mergeCell ref="D21:E21"/>
    <mergeCell ref="F21:H21"/>
    <mergeCell ref="T21:U21"/>
    <mergeCell ref="D22:E22"/>
    <mergeCell ref="F22:H22"/>
    <mergeCell ref="T22:U22"/>
    <mergeCell ref="T23:U23"/>
    <mergeCell ref="D24:E24"/>
    <mergeCell ref="F24:H24"/>
    <mergeCell ref="T24:U24"/>
    <mergeCell ref="D25:E25"/>
    <mergeCell ref="F25:H25"/>
    <mergeCell ref="T25:U25"/>
    <mergeCell ref="D26:E26"/>
    <mergeCell ref="F26:H26"/>
    <mergeCell ref="T26:U26"/>
    <mergeCell ref="T27:U27"/>
    <mergeCell ref="D28:E28"/>
    <mergeCell ref="F28:H28"/>
    <mergeCell ref="T28:U28"/>
    <mergeCell ref="D29:E29"/>
    <mergeCell ref="F29:H29"/>
    <mergeCell ref="T29:U29"/>
    <mergeCell ref="D30:E30"/>
    <mergeCell ref="F30:H30"/>
    <mergeCell ref="T30:U30"/>
    <mergeCell ref="T31:U31"/>
    <mergeCell ref="I33:N33"/>
    <mergeCell ref="I34:N34"/>
    <mergeCell ref="B38:B39"/>
    <mergeCell ref="C38:D38"/>
    <mergeCell ref="E38:G38"/>
    <mergeCell ref="H38:H39"/>
    <mergeCell ref="I38:K39"/>
    <mergeCell ref="L38:N39"/>
    <mergeCell ref="O38:P38"/>
    <mergeCell ref="F43:G43"/>
    <mergeCell ref="I43:K43"/>
    <mergeCell ref="L43:N43"/>
    <mergeCell ref="F41:G41"/>
    <mergeCell ref="I41:K41"/>
    <mergeCell ref="L41:N41"/>
    <mergeCell ref="T41:U41"/>
    <mergeCell ref="F42:G42"/>
    <mergeCell ref="I42:K42"/>
    <mergeCell ref="L42:N42"/>
    <mergeCell ref="T42:U42"/>
    <mergeCell ref="I35:N35"/>
    <mergeCell ref="R35:R64"/>
    <mergeCell ref="F46:G46"/>
    <mergeCell ref="I46:K46"/>
    <mergeCell ref="L46:N46"/>
    <mergeCell ref="F49:G49"/>
    <mergeCell ref="I49:K49"/>
    <mergeCell ref="L49:N49"/>
    <mergeCell ref="F52:G52"/>
    <mergeCell ref="I52:K52"/>
    <mergeCell ref="L52:N52"/>
    <mergeCell ref="F55:G55"/>
    <mergeCell ref="I55:K55"/>
    <mergeCell ref="L55:N55"/>
    <mergeCell ref="W38:X38"/>
    <mergeCell ref="Y38:AA38"/>
    <mergeCell ref="AB38:AD38"/>
    <mergeCell ref="AE38:AF38"/>
    <mergeCell ref="AG38:AH38"/>
    <mergeCell ref="F39:G39"/>
    <mergeCell ref="T39:U39"/>
    <mergeCell ref="F40:G40"/>
    <mergeCell ref="I40:K40"/>
    <mergeCell ref="L40:N40"/>
    <mergeCell ref="T40:U40"/>
    <mergeCell ref="T38:V38"/>
    <mergeCell ref="T43:U43"/>
    <mergeCell ref="F44:G44"/>
    <mergeCell ref="I44:K44"/>
    <mergeCell ref="L44:N44"/>
    <mergeCell ref="T44:U44"/>
    <mergeCell ref="F45:G45"/>
    <mergeCell ref="I45:K45"/>
    <mergeCell ref="L45:N45"/>
    <mergeCell ref="T45:U45"/>
    <mergeCell ref="T46:U46"/>
    <mergeCell ref="F47:G47"/>
    <mergeCell ref="I47:K47"/>
    <mergeCell ref="L47:N47"/>
    <mergeCell ref="T47:U47"/>
    <mergeCell ref="F48:G48"/>
    <mergeCell ref="I48:K48"/>
    <mergeCell ref="L48:N48"/>
    <mergeCell ref="T48:U48"/>
    <mergeCell ref="T49:U49"/>
    <mergeCell ref="F50:G50"/>
    <mergeCell ref="I50:K50"/>
    <mergeCell ref="L50:N50"/>
    <mergeCell ref="T50:U50"/>
    <mergeCell ref="F51:G51"/>
    <mergeCell ref="I51:K51"/>
    <mergeCell ref="L51:N51"/>
    <mergeCell ref="T51:U51"/>
    <mergeCell ref="T52:U52"/>
    <mergeCell ref="F53:G53"/>
    <mergeCell ref="I53:K53"/>
    <mergeCell ref="L53:N53"/>
    <mergeCell ref="T53:U53"/>
    <mergeCell ref="F54:G54"/>
    <mergeCell ref="I54:K54"/>
    <mergeCell ref="L54:N54"/>
    <mergeCell ref="T54:U54"/>
    <mergeCell ref="T55:U55"/>
    <mergeCell ref="F56:G56"/>
    <mergeCell ref="I56:K56"/>
    <mergeCell ref="L56:N56"/>
    <mergeCell ref="T56:U56"/>
    <mergeCell ref="F57:G57"/>
    <mergeCell ref="I57:K57"/>
    <mergeCell ref="L57:N57"/>
    <mergeCell ref="T57:U57"/>
    <mergeCell ref="F58:G58"/>
    <mergeCell ref="I58:K58"/>
    <mergeCell ref="L58:N58"/>
    <mergeCell ref="T58:U58"/>
    <mergeCell ref="F59:G59"/>
    <mergeCell ref="I59:K59"/>
    <mergeCell ref="L59:N59"/>
    <mergeCell ref="T59:U59"/>
    <mergeCell ref="F60:G60"/>
    <mergeCell ref="I60:K60"/>
    <mergeCell ref="L60:N60"/>
    <mergeCell ref="T60:U60"/>
    <mergeCell ref="I61:K61"/>
    <mergeCell ref="L61:N61"/>
    <mergeCell ref="I62:N62"/>
    <mergeCell ref="R65:R109"/>
    <mergeCell ref="B66:B67"/>
    <mergeCell ref="C66:D66"/>
    <mergeCell ref="E66:G66"/>
    <mergeCell ref="H66:H67"/>
    <mergeCell ref="I66:I67"/>
    <mergeCell ref="J66:K67"/>
    <mergeCell ref="L66:L67"/>
    <mergeCell ref="M66:N67"/>
    <mergeCell ref="O66:P66"/>
    <mergeCell ref="F69:G69"/>
    <mergeCell ref="J69:K69"/>
    <mergeCell ref="M69:N69"/>
    <mergeCell ref="F70:G70"/>
    <mergeCell ref="J70:K70"/>
    <mergeCell ref="M70:N70"/>
    <mergeCell ref="F71:G71"/>
    <mergeCell ref="J71:K71"/>
    <mergeCell ref="M71:N71"/>
    <mergeCell ref="F72:G72"/>
    <mergeCell ref="J72:K72"/>
    <mergeCell ref="T66:AD66"/>
    <mergeCell ref="AE66:AE67"/>
    <mergeCell ref="AF66:AP66"/>
    <mergeCell ref="AQ66:AQ67"/>
    <mergeCell ref="AR66:AX66"/>
    <mergeCell ref="F67:G67"/>
    <mergeCell ref="F68:G68"/>
    <mergeCell ref="J68:K68"/>
    <mergeCell ref="M68:N68"/>
    <mergeCell ref="M72:N72"/>
    <mergeCell ref="F73:G73"/>
    <mergeCell ref="J73:K73"/>
    <mergeCell ref="M73:N73"/>
    <mergeCell ref="F74:G74"/>
    <mergeCell ref="J74:K74"/>
    <mergeCell ref="M74:N74"/>
    <mergeCell ref="F75:G75"/>
    <mergeCell ref="J75:K75"/>
    <mergeCell ref="M75:N75"/>
    <mergeCell ref="F76:G76"/>
    <mergeCell ref="J76:K76"/>
    <mergeCell ref="M76:N76"/>
    <mergeCell ref="F77:G77"/>
    <mergeCell ref="J77:K77"/>
    <mergeCell ref="M77:N77"/>
    <mergeCell ref="F78:G78"/>
    <mergeCell ref="J78:K78"/>
    <mergeCell ref="M78:N78"/>
    <mergeCell ref="F79:G79"/>
    <mergeCell ref="J79:K79"/>
    <mergeCell ref="M79:N79"/>
    <mergeCell ref="F80:G80"/>
    <mergeCell ref="J80:K80"/>
    <mergeCell ref="M80:N80"/>
    <mergeCell ref="F81:G81"/>
    <mergeCell ref="J81:K81"/>
    <mergeCell ref="M81:N81"/>
    <mergeCell ref="F82:G82"/>
    <mergeCell ref="J82:K82"/>
    <mergeCell ref="M82:N82"/>
    <mergeCell ref="F83:G83"/>
    <mergeCell ref="J83:K83"/>
    <mergeCell ref="M83:N83"/>
    <mergeCell ref="F84:G84"/>
    <mergeCell ref="J84:K84"/>
    <mergeCell ref="M84:N84"/>
    <mergeCell ref="F85:G85"/>
    <mergeCell ref="J85:K85"/>
    <mergeCell ref="M85:N85"/>
    <mergeCell ref="F86:G86"/>
    <mergeCell ref="J86:K86"/>
    <mergeCell ref="M86:N86"/>
    <mergeCell ref="F87:G87"/>
    <mergeCell ref="J87:K87"/>
    <mergeCell ref="M87:N87"/>
    <mergeCell ref="F88:G88"/>
    <mergeCell ref="J88:K88"/>
    <mergeCell ref="M88:N88"/>
    <mergeCell ref="M89:N89"/>
    <mergeCell ref="B93:C94"/>
    <mergeCell ref="D93:D94"/>
    <mergeCell ref="E93:F94"/>
    <mergeCell ref="G93:H94"/>
    <mergeCell ref="I93:P93"/>
    <mergeCell ref="I94:K94"/>
    <mergeCell ref="L94:N94"/>
    <mergeCell ref="O94:P94"/>
    <mergeCell ref="B95:C95"/>
    <mergeCell ref="E95:F95"/>
    <mergeCell ref="G95:H95"/>
    <mergeCell ref="I95:K95"/>
    <mergeCell ref="L95:N95"/>
    <mergeCell ref="O95:P95"/>
    <mergeCell ref="B96:C96"/>
    <mergeCell ref="E96:F96"/>
    <mergeCell ref="G96:H96"/>
    <mergeCell ref="I96:K96"/>
    <mergeCell ref="L96:N96"/>
    <mergeCell ref="O96:P96"/>
    <mergeCell ref="B97:C97"/>
    <mergeCell ref="E97:F97"/>
    <mergeCell ref="G97:H97"/>
    <mergeCell ref="I97:K97"/>
    <mergeCell ref="L97:N97"/>
    <mergeCell ref="O97:P97"/>
    <mergeCell ref="B98:C98"/>
    <mergeCell ref="E98:F98"/>
    <mergeCell ref="G98:H98"/>
    <mergeCell ref="I98:K98"/>
    <mergeCell ref="L98:N98"/>
    <mergeCell ref="O98:P98"/>
    <mergeCell ref="B99:C99"/>
    <mergeCell ref="E99:F99"/>
    <mergeCell ref="G99:H99"/>
    <mergeCell ref="I99:K99"/>
    <mergeCell ref="L99:N99"/>
    <mergeCell ref="O99:P99"/>
    <mergeCell ref="E100:G100"/>
    <mergeCell ref="A102:Q104"/>
    <mergeCell ref="B108:D108"/>
    <mergeCell ref="E108:I108"/>
    <mergeCell ref="B138:E138"/>
    <mergeCell ref="R138:R169"/>
    <mergeCell ref="B139:E139"/>
    <mergeCell ref="B140:E140"/>
    <mergeCell ref="F140:H140"/>
    <mergeCell ref="B109:D109"/>
    <mergeCell ref="E109:I109"/>
    <mergeCell ref="R110:R137"/>
    <mergeCell ref="B113:D113"/>
    <mergeCell ref="B114:D115"/>
    <mergeCell ref="B116:D117"/>
    <mergeCell ref="B118:D119"/>
    <mergeCell ref="B120:D121"/>
    <mergeCell ref="B122:D123"/>
    <mergeCell ref="B124:D125"/>
    <mergeCell ref="B126:D127"/>
    <mergeCell ref="B128:D129"/>
    <mergeCell ref="B130:D131"/>
    <mergeCell ref="B132:D133"/>
    <mergeCell ref="B134:D135"/>
    <mergeCell ref="B137:E137"/>
  </mergeCells>
  <conditionalFormatting sqref="P1:P5 J68:K87 N68:N87">
    <cfRule type="containsText" dxfId="13" priority="1" stopIfTrue="1" text="Error ▲">
      <formula>NOT(ISERROR(FIND(UPPER("Error ▲"),UPPER(P1))))</formula>
      <formula>"Error ▲"</formula>
    </cfRule>
  </conditionalFormatting>
  <conditionalFormatting sqref="J2">
    <cfRule type="containsText" dxfId="14" priority="1" stopIfTrue="1" text="Technical">
      <formula>NOT(ISERROR(FIND(UPPER("Technical"),UPPER(J2))))</formula>
      <formula>"Technical"</formula>
    </cfRule>
  </conditionalFormatting>
  <conditionalFormatting sqref="L11:L30">
    <cfRule type="containsText" dxfId="15" priority="1" stopIfTrue="1" text="▲">
      <formula>NOT(ISERROR(FIND(UPPER("▲"),UPPER(L11))))</formula>
      <formula>"▲"</formula>
    </cfRule>
    <cfRule type="containsText" dxfId="16" priority="2" stopIfTrue="1" text="value">
      <formula>NOT(ISERROR(FIND(UPPER("value"),UPPER(L11))))</formula>
      <formula>"value"</formula>
    </cfRule>
    <cfRule type="cellIs" dxfId="17" priority="3" operator="equal" stopIfTrue="1">
      <formula>"Any loss Unacceptable"</formula>
    </cfRule>
  </conditionalFormatting>
  <conditionalFormatting sqref="M11:M30">
    <cfRule type="containsText" dxfId="18" priority="1" stopIfTrue="1" text="error">
      <formula>NOT(ISERROR(FIND(UPPER("error"),UPPER(M11))))</formula>
      <formula>"error"</formula>
    </cfRule>
    <cfRule type="cellIs" dxfId="19" priority="2" operator="equal" stopIfTrue="1">
      <formula>"Any loss Unacceptable"</formula>
    </cfRule>
  </conditionalFormatting>
  <conditionalFormatting sqref="N11:N30">
    <cfRule type="containsText" dxfId="20" priority="1" stopIfTrue="1" text="▲">
      <formula>NOT(ISERROR(FIND(UPPER("▲"),UPPER(N11))))</formula>
      <formula>"▲"</formula>
    </cfRule>
    <cfRule type="containsText" dxfId="21" priority="2" stopIfTrue="1" text="error">
      <formula>NOT(ISERROR(FIND(UPPER("error"),UPPER(N11))))</formula>
      <formula>"error"</formula>
    </cfRule>
    <cfRule type="cellIs" dxfId="22" priority="3" operator="equal" stopIfTrue="1">
      <formula>"Alternative Compensation"</formula>
    </cfRule>
    <cfRule type="cellIs" dxfId="23" priority="4" operator="equal" stopIfTrue="1">
      <formula>"Unacceptable Loss"</formula>
    </cfRule>
    <cfRule type="cellIs" dxfId="24" priority="5" operator="equal" stopIfTrue="1">
      <formula>"Compensation Agreed"</formula>
    </cfRule>
    <cfRule type="cellIs" dxfId="25" priority="6" operator="equal" stopIfTrue="1">
      <formula>"Unacceptable Loss"</formula>
    </cfRule>
    <cfRule type="cellIs" dxfId="26" priority="7" operator="equal" stopIfTrue="1">
      <formula>"Compensation Agreed"</formula>
    </cfRule>
    <cfRule type="cellIs" dxfId="27" priority="8" operator="equal" stopIfTrue="1">
      <formula>"Unacceptable Loss"</formula>
    </cfRule>
  </conditionalFormatting>
  <conditionalFormatting sqref="X11:X31">
    <cfRule type="cellIs" dxfId="28" priority="1" operator="equal" stopIfTrue="1">
      <formula>"Not Possible"</formula>
    </cfRule>
  </conditionalFormatting>
  <conditionalFormatting sqref="AG11:AG31">
    <cfRule type="cellIs" dxfId="29" priority="1" operator="equal" stopIfTrue="1">
      <formula>"Unacceptable Loss"</formula>
    </cfRule>
  </conditionalFormatting>
  <conditionalFormatting sqref="L31:M31 L60:M60 M88">
    <cfRule type="cellIs" dxfId="30" priority="1" operator="equal" stopIfTrue="1">
      <formula>"Alternative Compensation"</formula>
    </cfRule>
    <cfRule type="cellIs" dxfId="31" priority="2" operator="equal" stopIfTrue="1">
      <formula>"Unacceptable Loss"</formula>
    </cfRule>
    <cfRule type="cellIs" dxfId="32" priority="3" operator="equal" stopIfTrue="1">
      <formula>"Compensation Agreed"</formula>
    </cfRule>
    <cfRule type="cellIs" dxfId="33" priority="4" operator="equal" stopIfTrue="1">
      <formula>"Unacceptable Loss"</formula>
    </cfRule>
    <cfRule type="cellIs" dxfId="34" priority="5" operator="equal" stopIfTrue="1">
      <formula>"Compensation Agreed"</formula>
    </cfRule>
    <cfRule type="cellIs" dxfId="35" priority="6" operator="equal" stopIfTrue="1">
      <formula>"Unacceptable Loss"</formula>
    </cfRule>
  </conditionalFormatting>
  <conditionalFormatting sqref="I33:N35 I62:N62">
    <cfRule type="containsText" dxfId="36" priority="1" stopIfTrue="1" text="error">
      <formula>NOT(ISERROR(FIND(UPPER("error"),UPPER(I33))))</formula>
      <formula>"error"</formula>
    </cfRule>
    <cfRule type="containsText" dxfId="37" priority="2" stopIfTrue="1" text="acceptable">
      <formula>NOT(ISERROR(FIND(UPPER("acceptable"),UPPER(I33))))</formula>
      <formula>"acceptable"</formula>
    </cfRule>
  </conditionalFormatting>
  <conditionalFormatting sqref="F40:F59">
    <cfRule type="containsBlanks" dxfId="38" priority="1" stopIfTrue="1">
      <formula>ISBLANK(F40)</formula>
    </cfRule>
  </conditionalFormatting>
  <conditionalFormatting sqref="L40:M59">
    <cfRule type="containsText" dxfId="39" priority="1" stopIfTrue="1" text="▲">
      <formula>NOT(ISERROR(FIND(UPPER("▲"),UPPER(L40))))</formula>
      <formula>"▲"</formula>
    </cfRule>
    <cfRule type="containsText" dxfId="40" priority="2" stopIfTrue="1" text="value">
      <formula>NOT(ISERROR(FIND(UPPER("value"),UPPER(L40))))</formula>
      <formula>"value"</formula>
    </cfRule>
    <cfRule type="cellIs" dxfId="41" priority="3" operator="equal" stopIfTrue="1">
      <formula>"Alternative Compensation"</formula>
    </cfRule>
    <cfRule type="cellIs" dxfId="42" priority="4" operator="equal" stopIfTrue="1">
      <formula>"Unacceptable Loss"</formula>
    </cfRule>
    <cfRule type="cellIs" dxfId="43" priority="5" operator="equal" stopIfTrue="1">
      <formula>"Compensation Agreed"</formula>
    </cfRule>
    <cfRule type="cellIs" dxfId="44" priority="6" operator="equal" stopIfTrue="1">
      <formula>"Unacceptable Loss"</formula>
    </cfRule>
    <cfRule type="cellIs" dxfId="45" priority="7" operator="equal" stopIfTrue="1">
      <formula>"Compensation Agreed"</formula>
    </cfRule>
    <cfRule type="cellIs" dxfId="46" priority="8" operator="equal" stopIfTrue="1">
      <formula>"Unacceptable Loss"</formula>
    </cfRule>
  </conditionalFormatting>
  <conditionalFormatting sqref="N40:N59">
    <cfRule type="containsText" dxfId="47" priority="1" stopIfTrue="1" text="▲">
      <formula>NOT(ISERROR(FIND(UPPER("▲"),UPPER(N40))))</formula>
      <formula>"▲"</formula>
    </cfRule>
    <cfRule type="containsText" dxfId="48" priority="2" stopIfTrue="1" text="value">
      <formula>NOT(ISERROR(FIND(UPPER("value"),UPPER(N40))))</formula>
      <formula>"value"</formula>
    </cfRule>
  </conditionalFormatting>
  <conditionalFormatting sqref="X40:X60 AJ68:AJ88">
    <cfRule type="cellIs" dxfId="49" priority="1" operator="equal" stopIfTrue="1">
      <formula>"Not Possible"</formula>
    </cfRule>
  </conditionalFormatting>
  <conditionalFormatting sqref="E68:E88">
    <cfRule type="cellIs" dxfId="50" priority="1" operator="equal" stopIfTrue="1">
      <formula>"Enhancement not possible"</formula>
    </cfRule>
  </conditionalFormatting>
  <conditionalFormatting sqref="F68:G87">
    <cfRule type="containsText" dxfId="51" priority="1" stopIfTrue="1" text="not possible">
      <formula>NOT(ISERROR(FIND(UPPER("not possible"),UPPER(F68))))</formula>
      <formula>"not possible"</formula>
    </cfRule>
  </conditionalFormatting>
  <conditionalFormatting sqref="L68:L88">
    <cfRule type="containsText" dxfId="52" priority="1" stopIfTrue="1" text="▲">
      <formula>NOT(ISERROR(FIND(UPPER("▲"),UPPER(L68))))</formula>
      <formula>"▲"</formula>
    </cfRule>
    <cfRule type="cellIs" dxfId="53" priority="2" operator="equal" stopIfTrue="1">
      <formula>"Alternative Compensation"</formula>
    </cfRule>
    <cfRule type="cellIs" dxfId="54" priority="3" operator="equal" stopIfTrue="1">
      <formula>"Unacceptable Loss"</formula>
    </cfRule>
    <cfRule type="cellIs" dxfId="55" priority="4" operator="equal" stopIfTrue="1">
      <formula>"Compensation Agreed"</formula>
    </cfRule>
    <cfRule type="cellIs" dxfId="56" priority="5" operator="equal" stopIfTrue="1">
      <formula>"Unacceptable Loss"</formula>
    </cfRule>
    <cfRule type="cellIs" dxfId="57" priority="6" operator="equal" stopIfTrue="1">
      <formula>"Compensation Agreed"</formula>
    </cfRule>
    <cfRule type="cellIs" dxfId="58" priority="7" operator="equal" stopIfTrue="1">
      <formula>"Unacceptable Loss"</formula>
    </cfRule>
  </conditionalFormatting>
  <conditionalFormatting sqref="M68:M87">
    <cfRule type="containsText" dxfId="59" priority="1" stopIfTrue="1" text="Error ▲">
      <formula>NOT(ISERROR(FIND(UPPER("Error ▲"),UPPER(M68))))</formula>
      <formula>"Error ▲"</formula>
    </cfRule>
    <cfRule type="cellIs" dxfId="60" priority="2" operator="equal" stopIfTrue="1">
      <formula>"Alternative Compensation"</formula>
    </cfRule>
    <cfRule type="cellIs" dxfId="61" priority="3" operator="equal" stopIfTrue="1">
      <formula>"Unacceptable Loss"</formula>
    </cfRule>
    <cfRule type="cellIs" dxfId="62" priority="4" operator="equal" stopIfTrue="1">
      <formula>"Compensation Agreed"</formula>
    </cfRule>
    <cfRule type="cellIs" dxfId="63" priority="5" operator="equal" stopIfTrue="1">
      <formula>"Unacceptable Loss"</formula>
    </cfRule>
    <cfRule type="cellIs" dxfId="64" priority="6" operator="equal" stopIfTrue="1">
      <formula>"Compensation Agreed"</formula>
    </cfRule>
    <cfRule type="cellIs" dxfId="65" priority="7" operator="equal" stopIfTrue="1">
      <formula>"Unacceptable Loss"</formula>
    </cfRule>
  </conditionalFormatting>
  <conditionalFormatting sqref="I89 L89">
    <cfRule type="cellIs" dxfId="66" priority="1" operator="equal" stopIfTrue="1">
      <formula>"Any loss Unacceptable"</formula>
    </cfRule>
  </conditionalFormatting>
  <conditionalFormatting sqref="E95:F98">
    <cfRule type="cellIs" dxfId="67" priority="1" operator="greaterThan" stopIfTrue="1">
      <formula>$D95</formula>
    </cfRule>
  </conditionalFormatting>
  <conditionalFormatting sqref="L95:N98">
    <cfRule type="containsText" dxfId="68" priority="1" stopIfTrue="1" text="Error">
      <formula>NOT(ISERROR(FIND(UPPER("Error"),UPPER(L95))))</formula>
      <formula>"Error"</formula>
    </cfRule>
  </conditionalFormatting>
  <conditionalFormatting sqref="E108:E109">
    <cfRule type="containsText" dxfId="69" priority="1" stopIfTrue="1" text="Trading Rules Satisfied">
      <formula>NOT(ISERROR(FIND(UPPER("Trading Rules Satisfied"),UPPER(E108))))</formula>
      <formula>"Trading Rules Satisfied"</formula>
    </cfRule>
    <cfRule type="containsText" dxfId="70" priority="2" stopIfTrue="1" text="Error - Trading Rules Not Satisfied">
      <formula>NOT(ISERROR(FIND(UPPER("Error - Trading Rules Not Satisfied"),UPPER(E108))))</formula>
      <formula>"Error - Trading Rules Not Satisfied"</formula>
    </cfRule>
  </conditionalFormatting>
  <conditionalFormatting sqref="I114:I135 I138:I140">
    <cfRule type="containsText" dxfId="71" priority="1" stopIfTrue="1" text="Yes">
      <formula>NOT(ISERROR(FIND(UPPER("Yes"),UPPER(I114))))</formula>
      <formula>"Yes"</formula>
    </cfRule>
    <cfRule type="containsText" dxfId="72" priority="2" stopIfTrue="1" text="No">
      <formula>NOT(ISERROR(FIND(UPPER("No"),UPPER(I114))))</formula>
      <formula>"No"</formula>
    </cfRule>
  </conditionalFormatting>
  <dataValidations count="3">
    <dataValidation type="list" allowBlank="1" showInputMessage="1" showErrorMessage="1" sqref="C11:C30 C40:C59">
      <formula1>"Cropland,Grassland,Heathland and shrub,Intertidal hard structures,Intertidal sediment,Lakes,Sparsely vegetated land,Urban,Woodland and forest,Coastal saltmarsh"</formula1>
    </dataValidation>
    <dataValidation type="list" allowBlank="1" showInputMessage="1" showErrorMessage="1" sqref="F11:H31 H40:H60 H68:H88">
      <formula1>"Formally identified in local strategy,Area/compensation not in local strategy/ no local strategy"</formula1>
    </dataValidation>
    <dataValidation type="list" allowBlank="1" showInputMessage="1" showErrorMessage="1" sqref="F40:G59">
      <formula1>"Good,Moderate,Poor,Condition Assessment N/A,N/A - Other"</formula1>
    </dataValidation>
  </dataValidations>
  <pageMargins left="0.53" right="0.7" top="0.47" bottom="0.49" header="0.3" footer="0.3"/>
  <pageSetup firstPageNumber="1" fitToHeight="1" fitToWidth="1" scale="100" useFirstPageNumber="0" orientation="landscape" pageOrder="downThenOver"/>
  <headerFooter>
    <oddFooter>&amp;C&amp;"Helvetica Neue,Regular"&amp;12&amp;K000000&amp;P</oddFooter>
  </headerFooter>
</worksheet>
</file>

<file path=xl/worksheets/sheet7.xml><?xml version="1.0" encoding="utf-8"?>
<worksheet xmlns:r="http://schemas.openxmlformats.org/officeDocument/2006/relationships" xmlns="http://schemas.openxmlformats.org/spreadsheetml/2006/main">
  <sheetPr>
    <pageSetUpPr fitToPage="1"/>
  </sheetPr>
  <dimension ref="A1:BX127"/>
  <sheetViews>
    <sheetView workbookViewId="0" showGridLines="0" defaultGridColor="1"/>
  </sheetViews>
  <sheetFormatPr defaultColWidth="8.83333" defaultRowHeight="15" customHeight="1" outlineLevelRow="0" outlineLevelCol="0"/>
  <cols>
    <col min="1" max="1" width="4.5" style="657" customWidth="1"/>
    <col min="2" max="2" width="14.8516" style="657" customWidth="1"/>
    <col min="3" max="3" width="24.5" style="657" customWidth="1"/>
    <col min="4" max="4" width="40.1719" style="657" customWidth="1"/>
    <col min="5" max="5" width="27" style="657" customWidth="1"/>
    <col min="6" max="6" width="18.5" style="657" customWidth="1"/>
    <col min="7" max="7" width="39.6719" style="657" customWidth="1"/>
    <col min="8" max="8" width="49.3516" style="657" customWidth="1"/>
    <col min="9" max="9" width="14.5" style="657" customWidth="1"/>
    <col min="10" max="10" width="12.6719" style="657" customWidth="1"/>
    <col min="11" max="11" width="11.5" style="657" customWidth="1"/>
    <col min="12" max="12" width="13" style="657" customWidth="1"/>
    <col min="13" max="14" width="11.5" style="657" customWidth="1"/>
    <col min="15" max="16" width="27" style="657" customWidth="1"/>
    <col min="17" max="18" width="11.5" style="657" customWidth="1"/>
    <col min="19" max="19" width="2.5" style="657" customWidth="1"/>
    <col min="20" max="20" width="16.6719" style="657" customWidth="1"/>
    <col min="21" max="21" width="14.8516" style="657" customWidth="1"/>
    <col min="22" max="22" width="20.6719" style="657" customWidth="1"/>
    <col min="23" max="23" width="23.6719" style="657" customWidth="1"/>
    <col min="24" max="24" width="16.8516" style="657" customWidth="1"/>
    <col min="25" max="25" width="14" style="657" customWidth="1"/>
    <col min="26" max="26" width="22" style="657" customWidth="1"/>
    <col min="27" max="27" width="14" style="657" customWidth="1"/>
    <col min="28" max="28" width="33.6719" style="657" customWidth="1"/>
    <col min="29" max="30" width="32.6719" style="657" customWidth="1"/>
    <col min="31" max="31" width="18.6719" style="657" customWidth="1"/>
    <col min="32" max="32" width="23.6719" style="657" customWidth="1"/>
    <col min="33" max="33" width="16.6719" style="657" customWidth="1"/>
    <col min="34" max="34" width="65.6719" style="657" customWidth="1"/>
    <col min="35" max="35" width="207" style="657" customWidth="1"/>
    <col min="36" max="37" width="23.5" style="657" customWidth="1"/>
    <col min="38" max="38" width="16.6719" style="657" customWidth="1"/>
    <col min="39" max="39" width="13.3516" style="657" customWidth="1"/>
    <col min="40" max="40" width="12.3516" style="657" customWidth="1"/>
    <col min="41" max="41" width="34.1719" style="657" customWidth="1"/>
    <col min="42" max="42" width="19.6719" style="657" customWidth="1"/>
    <col min="43" max="43" width="16.3516" style="657" customWidth="1"/>
    <col min="44" max="47" width="27.3516" style="657" customWidth="1"/>
    <col min="48" max="48" width="21.1719" style="657" customWidth="1"/>
    <col min="49" max="49" width="23.3516" style="657" customWidth="1"/>
    <col min="50" max="50" width="68.3516" style="657" customWidth="1"/>
    <col min="51" max="51" width="23.3516" style="657" customWidth="1"/>
    <col min="52" max="52" width="24.5" style="657" customWidth="1"/>
    <col min="53" max="53" width="18.6719" style="657" customWidth="1"/>
    <col min="54" max="73" width="31.6719" style="657" customWidth="1"/>
    <col min="74" max="74" width="15.5" style="657" customWidth="1"/>
    <col min="75" max="76" width="8.85156" style="657" customWidth="1"/>
    <col min="77" max="16384" width="8.85156" style="657" customWidth="1"/>
  </cols>
  <sheetData>
    <row r="1" ht="15.75" customHeight="1">
      <c r="A1" s="658"/>
      <c r="B1" s="659"/>
      <c r="C1" s="659"/>
      <c r="D1" s="659"/>
      <c r="E1" s="660"/>
      <c r="F1" s="659"/>
      <c r="G1" s="659"/>
      <c r="H1" s="659"/>
      <c r="I1" s="200"/>
      <c r="J1" s="200"/>
      <c r="K1" s="200"/>
      <c r="L1" s="200"/>
      <c r="M1" s="200"/>
      <c r="N1" s="201"/>
      <c r="O1" t="s" s="202">
        <v>98</v>
      </c>
      <c r="P1" s="203">
        <f>_xlfn.IFERROR(SUM(AE11:AE30),"Error ▲")</f>
        <v>0</v>
      </c>
      <c r="Q1" s="661"/>
      <c r="R1" t="s" s="205">
        <v>99</v>
      </c>
      <c r="S1" s="660"/>
      <c r="T1" s="662"/>
      <c r="U1" s="660"/>
      <c r="V1" s="660"/>
      <c r="W1" s="660"/>
      <c r="X1" s="660"/>
      <c r="Y1" s="660"/>
      <c r="Z1" s="660"/>
      <c r="AA1" s="660"/>
      <c r="AB1" s="660"/>
      <c r="AC1" s="660"/>
      <c r="AD1" s="660"/>
      <c r="AE1" s="660"/>
      <c r="AF1" s="660"/>
      <c r="AG1" s="660"/>
      <c r="AH1" s="660"/>
      <c r="AI1" s="660"/>
      <c r="AJ1" s="660"/>
      <c r="AK1" s="660"/>
      <c r="AL1" s="660"/>
      <c r="AM1" s="660"/>
      <c r="AN1" s="660"/>
      <c r="AO1" s="660"/>
      <c r="AP1" s="660"/>
      <c r="AQ1" s="660"/>
      <c r="AR1" s="660"/>
      <c r="AS1" s="660"/>
      <c r="AT1" s="660"/>
      <c r="AU1" s="660"/>
      <c r="AV1" s="660"/>
      <c r="AW1" s="660"/>
      <c r="AX1" s="660"/>
      <c r="AY1" s="660"/>
      <c r="AZ1" s="660"/>
      <c r="BA1" s="660"/>
      <c r="BB1" s="660"/>
      <c r="BC1" s="660"/>
      <c r="BD1" s="660"/>
      <c r="BE1" s="660"/>
      <c r="BF1" s="660"/>
      <c r="BG1" s="660"/>
      <c r="BH1" s="660"/>
      <c r="BI1" s="660"/>
      <c r="BJ1" s="660"/>
      <c r="BK1" s="660"/>
      <c r="BL1" s="660"/>
      <c r="BM1" s="660"/>
      <c r="BN1" s="660"/>
      <c r="BO1" s="660"/>
      <c r="BP1" s="660"/>
      <c r="BQ1" s="660"/>
      <c r="BR1" s="660"/>
      <c r="BS1" s="660"/>
      <c r="BT1" s="660"/>
      <c r="BU1" s="660"/>
      <c r="BV1" s="660"/>
      <c r="BW1" s="660"/>
      <c r="BX1" s="663"/>
    </row>
    <row r="2" ht="20.1" customHeight="1">
      <c r="A2" s="379"/>
      <c r="B2" t="s" s="207">
        <v>100</v>
      </c>
      <c r="C2" t="s" s="208">
        <f>IF('2. Site Details'!D4="","Enter site name on 2. Site Details",'2. Site Details'!D4)</f>
        <v>54</v>
      </c>
      <c r="D2" s="209"/>
      <c r="E2" s="472"/>
      <c r="F2" t="s" s="211">
        <v>292</v>
      </c>
      <c r="G2" s="212"/>
      <c r="H2" s="213"/>
      <c r="I2" s="235"/>
      <c r="J2" t="s" s="215">
        <v>102</v>
      </c>
      <c r="K2" s="216"/>
      <c r="L2" s="216"/>
      <c r="M2" s="216"/>
      <c r="N2" s="217"/>
      <c r="O2" t="s" s="218">
        <v>103</v>
      </c>
      <c r="P2" s="203">
        <f>_xlfn.IFERROR(N31,"Error ▲")</f>
        <v>0</v>
      </c>
      <c r="Q2" s="380"/>
      <c r="R2" s="219"/>
      <c r="S2" s="161"/>
      <c r="T2" s="460"/>
      <c r="U2" s="161"/>
      <c r="V2" s="161"/>
      <c r="W2" s="161"/>
      <c r="X2" s="161"/>
      <c r="Y2" s="161"/>
      <c r="Z2" s="161"/>
      <c r="AA2" s="161"/>
      <c r="AB2" s="161"/>
      <c r="AC2" s="161"/>
      <c r="AD2" s="161"/>
      <c r="AE2" s="161"/>
      <c r="AF2" s="161"/>
      <c r="AG2" s="161"/>
      <c r="AH2" s="161"/>
      <c r="AI2" s="161"/>
      <c r="AJ2" s="161"/>
      <c r="AK2" s="161"/>
      <c r="AL2" s="161"/>
      <c r="AM2" s="161"/>
      <c r="AN2" s="161"/>
      <c r="AO2" s="161"/>
      <c r="AP2" s="161"/>
      <c r="AQ2" s="161"/>
      <c r="AR2" s="161"/>
      <c r="AS2" s="161"/>
      <c r="AT2" s="161"/>
      <c r="AU2" s="161"/>
      <c r="AV2" s="161"/>
      <c r="AW2" s="161"/>
      <c r="AX2" s="161"/>
      <c r="AY2" s="161"/>
      <c r="AZ2" s="161"/>
      <c r="BA2" s="161"/>
      <c r="BB2" s="161"/>
      <c r="BC2" s="161"/>
      <c r="BD2" s="161"/>
      <c r="BE2" s="161"/>
      <c r="BF2" s="161"/>
      <c r="BG2" s="161"/>
      <c r="BH2" s="161"/>
      <c r="BI2" s="161"/>
      <c r="BJ2" s="161"/>
      <c r="BK2" s="161"/>
      <c r="BL2" s="161"/>
      <c r="BM2" s="161"/>
      <c r="BN2" s="161"/>
      <c r="BO2" s="161"/>
      <c r="BP2" s="161"/>
      <c r="BQ2" s="161"/>
      <c r="BR2" s="161"/>
      <c r="BS2" s="161"/>
      <c r="BT2" s="161"/>
      <c r="BU2" s="161"/>
      <c r="BV2" s="161"/>
      <c r="BW2" s="161"/>
      <c r="BX2" s="664"/>
    </row>
    <row r="3" ht="20.1" customHeight="1">
      <c r="A3" s="379"/>
      <c r="B3" t="s" s="221">
        <v>23</v>
      </c>
      <c r="C3" t="s" s="222">
        <v>291</v>
      </c>
      <c r="D3" s="223"/>
      <c r="E3" s="472"/>
      <c r="F3" s="224"/>
      <c r="G3" s="225"/>
      <c r="H3" s="226"/>
      <c r="I3" s="235"/>
      <c r="J3" s="216"/>
      <c r="K3" s="216"/>
      <c r="L3" s="216"/>
      <c r="M3" s="216"/>
      <c r="N3" s="217"/>
      <c r="O3" t="s" s="218">
        <v>104</v>
      </c>
      <c r="P3" s="203">
        <f>_xlfn.IFERROR(L59,"Error ▲")</f>
        <v>0</v>
      </c>
      <c r="Q3" s="380"/>
      <c r="R3" s="219"/>
      <c r="S3" s="161"/>
      <c r="T3" s="460"/>
      <c r="U3" s="161"/>
      <c r="V3" s="161"/>
      <c r="W3" s="161"/>
      <c r="X3" s="161"/>
      <c r="Y3" s="161"/>
      <c r="Z3" s="161"/>
      <c r="AA3" s="161"/>
      <c r="AB3" s="161"/>
      <c r="AC3" s="161"/>
      <c r="AD3" s="161"/>
      <c r="AE3" s="161"/>
      <c r="AF3" s="161"/>
      <c r="AG3" s="161"/>
      <c r="AH3" s="161"/>
      <c r="AI3" s="161"/>
      <c r="AJ3" s="161"/>
      <c r="AK3" s="161"/>
      <c r="AL3" s="161"/>
      <c r="AM3" s="161"/>
      <c r="AN3" s="161"/>
      <c r="AO3" s="161"/>
      <c r="AP3" s="161"/>
      <c r="AQ3" s="161"/>
      <c r="AR3" s="161"/>
      <c r="AS3" s="161"/>
      <c r="AT3" s="161"/>
      <c r="AU3" s="161"/>
      <c r="AV3" s="161"/>
      <c r="AW3" s="161"/>
      <c r="AX3" s="161"/>
      <c r="AY3" s="161"/>
      <c r="AZ3" s="161"/>
      <c r="BA3" s="161"/>
      <c r="BB3" s="161"/>
      <c r="BC3" s="161"/>
      <c r="BD3" s="161"/>
      <c r="BE3" s="161"/>
      <c r="BF3" s="161"/>
      <c r="BG3" s="161"/>
      <c r="BH3" s="161"/>
      <c r="BI3" s="161"/>
      <c r="BJ3" s="161"/>
      <c r="BK3" s="161"/>
      <c r="BL3" s="161"/>
      <c r="BM3" s="161"/>
      <c r="BN3" s="161"/>
      <c r="BO3" s="161"/>
      <c r="BP3" s="161"/>
      <c r="BQ3" s="161"/>
      <c r="BR3" s="161"/>
      <c r="BS3" s="161"/>
      <c r="BT3" s="161"/>
      <c r="BU3" s="161"/>
      <c r="BV3" s="161"/>
      <c r="BW3" s="161"/>
      <c r="BX3" s="664"/>
    </row>
    <row r="4" ht="20.1" customHeight="1">
      <c r="A4" s="347"/>
      <c r="B4" s="227"/>
      <c r="C4" s="227"/>
      <c r="D4" s="227"/>
      <c r="E4" s="381"/>
      <c r="F4" s="224"/>
      <c r="G4" s="225"/>
      <c r="H4" s="226"/>
      <c r="I4" s="235"/>
      <c r="J4" s="216"/>
      <c r="K4" s="216"/>
      <c r="L4" s="216"/>
      <c r="M4" s="216"/>
      <c r="N4" s="217"/>
      <c r="O4" t="s" s="218">
        <v>105</v>
      </c>
      <c r="P4" s="203">
        <f>_xlfn.IFERROR(L86,"Error ▲")</f>
        <v>0</v>
      </c>
      <c r="Q4" s="380"/>
      <c r="R4" s="219"/>
      <c r="S4" s="161"/>
      <c r="T4" s="460"/>
      <c r="U4" s="161"/>
      <c r="V4" s="161"/>
      <c r="W4" s="161"/>
      <c r="X4" s="161"/>
      <c r="Y4" s="161"/>
      <c r="Z4" s="161"/>
      <c r="AA4" s="161"/>
      <c r="AB4" s="161"/>
      <c r="AC4" s="161"/>
      <c r="AD4" s="161"/>
      <c r="AE4" s="161"/>
      <c r="AF4" s="161"/>
      <c r="AG4" s="161"/>
      <c r="AH4" s="161"/>
      <c r="AI4" s="161"/>
      <c r="AJ4" s="161"/>
      <c r="AK4" s="161"/>
      <c r="AL4" s="161"/>
      <c r="AM4" s="161"/>
      <c r="AN4" s="161"/>
      <c r="AO4" s="161"/>
      <c r="AP4" s="161"/>
      <c r="AQ4" s="161"/>
      <c r="AR4" s="161"/>
      <c r="AS4" s="161"/>
      <c r="AT4" s="161"/>
      <c r="AU4" s="161"/>
      <c r="AV4" s="161"/>
      <c r="AW4" s="161"/>
      <c r="AX4" s="161"/>
      <c r="AY4" s="161"/>
      <c r="AZ4" s="161"/>
      <c r="BA4" s="161"/>
      <c r="BB4" s="161"/>
      <c r="BC4" s="161"/>
      <c r="BD4" s="161"/>
      <c r="BE4" s="161"/>
      <c r="BF4" s="161"/>
      <c r="BG4" s="161"/>
      <c r="BH4" s="161"/>
      <c r="BI4" s="161"/>
      <c r="BJ4" s="161"/>
      <c r="BK4" s="161"/>
      <c r="BL4" s="161"/>
      <c r="BM4" s="161"/>
      <c r="BN4" s="161"/>
      <c r="BO4" s="161"/>
      <c r="BP4" s="161"/>
      <c r="BQ4" s="161"/>
      <c r="BR4" s="161"/>
      <c r="BS4" s="161"/>
      <c r="BT4" s="161"/>
      <c r="BU4" s="161"/>
      <c r="BV4" s="161"/>
      <c r="BW4" s="161"/>
      <c r="BX4" s="664"/>
    </row>
    <row r="5" ht="20.1" customHeight="1">
      <c r="A5" s="229"/>
      <c r="B5" s="161"/>
      <c r="C5" s="161"/>
      <c r="D5" s="161"/>
      <c r="E5" s="381"/>
      <c r="F5" s="224"/>
      <c r="G5" s="225"/>
      <c r="H5" s="226"/>
      <c r="I5" s="235"/>
      <c r="J5" s="216"/>
      <c r="K5" s="216"/>
      <c r="L5" s="216"/>
      <c r="M5" s="216"/>
      <c r="N5" s="217"/>
      <c r="O5" t="s" s="230">
        <v>106</v>
      </c>
      <c r="P5" s="231">
        <f>_xlfn.IFERROR(P1+L59+L86-L31,"Error ▲")</f>
        <v>0</v>
      </c>
      <c r="Q5" s="380"/>
      <c r="R5" s="219"/>
      <c r="S5" s="161"/>
      <c r="T5" s="460"/>
      <c r="U5" s="161"/>
      <c r="V5" s="161"/>
      <c r="W5" s="161"/>
      <c r="X5" s="161"/>
      <c r="Y5" s="161"/>
      <c r="Z5" s="161"/>
      <c r="AA5" s="161"/>
      <c r="AB5" s="161"/>
      <c r="AC5" s="161"/>
      <c r="AD5" s="161"/>
      <c r="AE5" s="161"/>
      <c r="AF5" s="161"/>
      <c r="AG5" s="161"/>
      <c r="AH5" s="161"/>
      <c r="AI5" s="161"/>
      <c r="AJ5" s="161"/>
      <c r="AK5" s="161"/>
      <c r="AL5" s="161"/>
      <c r="AM5" s="161"/>
      <c r="AN5" s="161"/>
      <c r="AO5" s="161"/>
      <c r="AP5" s="161"/>
      <c r="AQ5" s="161"/>
      <c r="AR5" s="161"/>
      <c r="AS5" s="161"/>
      <c r="AT5" s="161"/>
      <c r="AU5" s="161"/>
      <c r="AV5" s="161"/>
      <c r="AW5" s="161"/>
      <c r="AX5" s="161"/>
      <c r="AY5" s="161"/>
      <c r="AZ5" s="161"/>
      <c r="BA5" s="161"/>
      <c r="BB5" s="161"/>
      <c r="BC5" s="161"/>
      <c r="BD5" s="161"/>
      <c r="BE5" s="161"/>
      <c r="BF5" s="161"/>
      <c r="BG5" s="161"/>
      <c r="BH5" s="161"/>
      <c r="BI5" s="161"/>
      <c r="BJ5" s="161"/>
      <c r="BK5" s="161"/>
      <c r="BL5" s="161"/>
      <c r="BM5" s="161"/>
      <c r="BN5" s="161"/>
      <c r="BO5" s="161"/>
      <c r="BP5" s="161"/>
      <c r="BQ5" s="161"/>
      <c r="BR5" s="161"/>
      <c r="BS5" s="161"/>
      <c r="BT5" s="161"/>
      <c r="BU5" s="161"/>
      <c r="BV5" s="161"/>
      <c r="BW5" s="161"/>
      <c r="BX5" s="664"/>
    </row>
    <row r="6" ht="13.35" customHeight="1">
      <c r="A6" s="229"/>
      <c r="B6" s="161"/>
      <c r="C6" s="161"/>
      <c r="D6" s="161"/>
      <c r="E6" s="381"/>
      <c r="F6" s="232"/>
      <c r="G6" s="233"/>
      <c r="H6" s="234"/>
      <c r="I6" s="235"/>
      <c r="J6" s="236"/>
      <c r="K6" s="236"/>
      <c r="L6" s="236"/>
      <c r="M6" s="236"/>
      <c r="N6" s="236"/>
      <c r="O6" s="237"/>
      <c r="P6" s="237"/>
      <c r="Q6" s="161"/>
      <c r="R6" s="219"/>
      <c r="S6" s="161"/>
      <c r="T6" s="460"/>
      <c r="U6" s="161"/>
      <c r="V6" s="161"/>
      <c r="W6" s="161"/>
      <c r="X6" s="161"/>
      <c r="Y6" s="161"/>
      <c r="Z6" s="161"/>
      <c r="AA6" s="161"/>
      <c r="AB6" s="161"/>
      <c r="AC6" s="161"/>
      <c r="AD6" s="161"/>
      <c r="AE6" s="161"/>
      <c r="AF6" s="161"/>
      <c r="AG6" s="161"/>
      <c r="AH6" s="161"/>
      <c r="AI6" s="161"/>
      <c r="AJ6" s="161"/>
      <c r="AK6" s="161"/>
      <c r="AL6" s="161"/>
      <c r="AM6" s="161"/>
      <c r="AN6" s="161"/>
      <c r="AO6" s="161"/>
      <c r="AP6" s="161"/>
      <c r="AQ6" s="161"/>
      <c r="AR6" s="161"/>
      <c r="AS6" s="161"/>
      <c r="AT6" s="161"/>
      <c r="AU6" s="161"/>
      <c r="AV6" s="161"/>
      <c r="AW6" s="161"/>
      <c r="AX6" s="161"/>
      <c r="AY6" s="161"/>
      <c r="AZ6" s="161"/>
      <c r="BA6" s="161"/>
      <c r="BB6" s="161"/>
      <c r="BC6" s="161"/>
      <c r="BD6" s="161"/>
      <c r="BE6" s="161"/>
      <c r="BF6" s="161"/>
      <c r="BG6" s="161"/>
      <c r="BH6" s="161"/>
      <c r="BI6" s="161"/>
      <c r="BJ6" s="161"/>
      <c r="BK6" s="161"/>
      <c r="BL6" s="161"/>
      <c r="BM6" s="161"/>
      <c r="BN6" s="161"/>
      <c r="BO6" s="161"/>
      <c r="BP6" s="161"/>
      <c r="BQ6" s="161"/>
      <c r="BR6" s="161"/>
      <c r="BS6" s="161"/>
      <c r="BT6" s="161"/>
      <c r="BU6" s="161"/>
      <c r="BV6" s="161"/>
      <c r="BW6" s="161"/>
      <c r="BX6" s="664"/>
    </row>
    <row r="7" ht="19.35" customHeight="1">
      <c r="A7" s="347"/>
      <c r="B7" t="s" s="374">
        <v>107</v>
      </c>
      <c r="C7" s="161"/>
      <c r="D7" s="375"/>
      <c r="E7" s="161"/>
      <c r="F7" s="348"/>
      <c r="G7" s="348"/>
      <c r="H7" s="376"/>
      <c r="I7" s="161"/>
      <c r="J7" s="161"/>
      <c r="K7" s="460"/>
      <c r="L7" s="240"/>
      <c r="M7" s="240"/>
      <c r="N7" s="240"/>
      <c r="O7" s="161"/>
      <c r="P7" s="161"/>
      <c r="Q7" s="161"/>
      <c r="R7" s="219"/>
      <c r="S7" s="161"/>
      <c r="T7" s="460"/>
      <c r="U7" s="161"/>
      <c r="V7" s="161"/>
      <c r="W7" s="161"/>
      <c r="X7" s="161"/>
      <c r="Y7" s="161"/>
      <c r="Z7" s="161"/>
      <c r="AA7" s="161"/>
      <c r="AB7" s="161"/>
      <c r="AC7" s="161"/>
      <c r="AD7" s="161"/>
      <c r="AE7" s="161"/>
      <c r="AF7" s="161"/>
      <c r="AG7" s="161"/>
      <c r="AH7" s="161"/>
      <c r="AI7" s="161"/>
      <c r="AJ7" s="161"/>
      <c r="AK7" s="161"/>
      <c r="AL7" s="161"/>
      <c r="AM7" s="161"/>
      <c r="AN7" s="161"/>
      <c r="AO7" s="161"/>
      <c r="AP7" s="161"/>
      <c r="AQ7" s="161"/>
      <c r="AR7" s="161"/>
      <c r="AS7" s="161"/>
      <c r="AT7" s="161"/>
      <c r="AU7" s="161"/>
      <c r="AV7" s="161"/>
      <c r="AW7" s="161"/>
      <c r="AX7" s="161"/>
      <c r="AY7" s="161"/>
      <c r="AZ7" s="161"/>
      <c r="BA7" s="161"/>
      <c r="BB7" s="161"/>
      <c r="BC7" s="161"/>
      <c r="BD7" s="161"/>
      <c r="BE7" s="161"/>
      <c r="BF7" s="161"/>
      <c r="BG7" s="161"/>
      <c r="BH7" s="161"/>
      <c r="BI7" s="161"/>
      <c r="BJ7" s="161"/>
      <c r="BK7" s="161"/>
      <c r="BL7" s="161"/>
      <c r="BM7" s="161"/>
      <c r="BN7" s="161"/>
      <c r="BO7" s="161"/>
      <c r="BP7" s="161"/>
      <c r="BQ7" s="161"/>
      <c r="BR7" s="161"/>
      <c r="BS7" s="161"/>
      <c r="BT7" s="161"/>
      <c r="BU7" s="161"/>
      <c r="BV7" s="161"/>
      <c r="BW7" s="161"/>
      <c r="BX7" s="664"/>
    </row>
    <row r="8" ht="11.1" customHeight="1">
      <c r="A8" s="241"/>
      <c r="B8" s="378"/>
      <c r="C8" s="378"/>
      <c r="D8" s="378"/>
      <c r="E8" s="378"/>
      <c r="F8" s="378"/>
      <c r="G8" s="378"/>
      <c r="H8" s="378"/>
      <c r="I8" s="378"/>
      <c r="J8" s="378"/>
      <c r="K8" s="378"/>
      <c r="L8" s="378"/>
      <c r="M8" s="378"/>
      <c r="N8" s="378"/>
      <c r="O8" s="378"/>
      <c r="P8" s="378"/>
      <c r="Q8" s="161"/>
      <c r="R8" s="219"/>
      <c r="S8" s="161"/>
      <c r="T8" s="378"/>
      <c r="U8" s="378"/>
      <c r="V8" s="378"/>
      <c r="W8" s="378"/>
      <c r="X8" s="378"/>
      <c r="Y8" s="161"/>
      <c r="Z8" s="161"/>
      <c r="AA8" s="161"/>
      <c r="AB8" s="378"/>
      <c r="AC8" s="378"/>
      <c r="AD8" s="378"/>
      <c r="AE8" s="378"/>
      <c r="AF8" s="378"/>
      <c r="AG8" s="378"/>
      <c r="AH8" s="378"/>
      <c r="AI8" s="378"/>
      <c r="AJ8" s="161"/>
      <c r="AK8" s="161"/>
      <c r="AL8" s="161"/>
      <c r="AM8" s="161"/>
      <c r="AN8" s="161"/>
      <c r="AO8" s="161"/>
      <c r="AP8" s="161"/>
      <c r="AQ8" s="161"/>
      <c r="AR8" s="161"/>
      <c r="AS8" s="161"/>
      <c r="AT8" s="161"/>
      <c r="AU8" s="161"/>
      <c r="AV8" s="161"/>
      <c r="AW8" s="161"/>
      <c r="AX8" s="161"/>
      <c r="AY8" s="161"/>
      <c r="AZ8" s="161"/>
      <c r="BA8" s="161"/>
      <c r="BB8" s="161"/>
      <c r="BC8" s="161"/>
      <c r="BD8" s="161"/>
      <c r="BE8" s="161"/>
      <c r="BF8" s="161"/>
      <c r="BG8" s="161"/>
      <c r="BH8" s="161"/>
      <c r="BI8" s="161"/>
      <c r="BJ8" s="161"/>
      <c r="BK8" s="161"/>
      <c r="BL8" s="161"/>
      <c r="BM8" s="161"/>
      <c r="BN8" s="161"/>
      <c r="BO8" s="161"/>
      <c r="BP8" s="161"/>
      <c r="BQ8" s="161"/>
      <c r="BR8" s="161"/>
      <c r="BS8" s="161"/>
      <c r="BT8" s="161"/>
      <c r="BU8" s="161"/>
      <c r="BV8" s="161"/>
      <c r="BW8" s="161"/>
      <c r="BX8" s="664"/>
    </row>
    <row r="9" ht="29.45" customHeight="1">
      <c r="A9" s="242"/>
      <c r="B9" t="s" s="243">
        <v>89</v>
      </c>
      <c r="C9" t="s" s="202">
        <v>108</v>
      </c>
      <c r="D9" s="244"/>
      <c r="E9" s="245"/>
      <c r="F9" t="s" s="246">
        <v>109</v>
      </c>
      <c r="G9" s="247"/>
      <c r="H9" s="248"/>
      <c r="I9" t="s" s="202">
        <v>293</v>
      </c>
      <c r="J9" s="244"/>
      <c r="K9" s="245"/>
      <c r="L9" t="s" s="249">
        <v>111</v>
      </c>
      <c r="M9" s="250"/>
      <c r="N9" s="251"/>
      <c r="O9" t="s" s="249">
        <v>112</v>
      </c>
      <c r="P9" s="251"/>
      <c r="Q9" s="380"/>
      <c r="R9" s="219"/>
      <c r="S9" s="381"/>
      <c r="T9" t="s" s="252">
        <v>113</v>
      </c>
      <c r="U9" s="253"/>
      <c r="V9" s="254"/>
      <c r="W9" t="s" s="252">
        <v>114</v>
      </c>
      <c r="X9" s="254"/>
      <c r="Y9" s="255"/>
      <c r="Z9" s="256"/>
      <c r="AA9" s="256"/>
      <c r="AB9" t="s" s="665">
        <v>115</v>
      </c>
      <c r="AC9" s="253"/>
      <c r="AD9" s="254"/>
      <c r="AE9" t="s" s="252">
        <v>116</v>
      </c>
      <c r="AF9" s="253"/>
      <c r="AG9" s="254"/>
      <c r="AH9" t="s" s="252">
        <v>117</v>
      </c>
      <c r="AI9" t="s" s="666">
        <v>118</v>
      </c>
      <c r="AJ9" s="380"/>
      <c r="AK9" s="161"/>
      <c r="AL9" s="161"/>
      <c r="AM9" s="161"/>
      <c r="AN9" s="161"/>
      <c r="AO9" s="161"/>
      <c r="AP9" s="161"/>
      <c r="AQ9" s="161"/>
      <c r="AR9" s="161"/>
      <c r="AS9" s="161"/>
      <c r="AT9" s="161"/>
      <c r="AU9" s="161"/>
      <c r="AV9" s="161"/>
      <c r="AW9" s="161"/>
      <c r="AX9" s="161"/>
      <c r="AY9" s="161"/>
      <c r="AZ9" s="161"/>
      <c r="BA9" s="161"/>
      <c r="BB9" s="161"/>
      <c r="BC9" s="161"/>
      <c r="BD9" s="161"/>
      <c r="BE9" s="161"/>
      <c r="BF9" s="161"/>
      <c r="BG9" s="161"/>
      <c r="BH9" s="161"/>
      <c r="BI9" s="161"/>
      <c r="BJ9" s="161"/>
      <c r="BK9" s="161"/>
      <c r="BL9" s="161"/>
      <c r="BM9" s="161"/>
      <c r="BN9" s="161"/>
      <c r="BO9" s="161"/>
      <c r="BP9" s="161"/>
      <c r="BQ9" s="161"/>
      <c r="BR9" s="161"/>
      <c r="BS9" s="161"/>
      <c r="BT9" s="161"/>
      <c r="BU9" s="161"/>
      <c r="BV9" s="161"/>
      <c r="BW9" s="161"/>
      <c r="BX9" s="664"/>
    </row>
    <row r="10" ht="32.45" customHeight="1">
      <c r="A10" s="242"/>
      <c r="B10" s="259"/>
      <c r="C10" t="s" s="218">
        <v>119</v>
      </c>
      <c r="D10" t="s" s="265">
        <v>120</v>
      </c>
      <c r="E10" s="386"/>
      <c r="F10" s="262"/>
      <c r="G10" s="263"/>
      <c r="H10" s="264"/>
      <c r="I10" t="s" s="230">
        <v>294</v>
      </c>
      <c r="J10" t="s" s="265">
        <v>295</v>
      </c>
      <c r="K10" t="s" s="266">
        <v>296</v>
      </c>
      <c r="L10" t="s" s="230">
        <v>297</v>
      </c>
      <c r="M10" t="s" s="265">
        <v>298</v>
      </c>
      <c r="N10" t="s" s="266">
        <v>126</v>
      </c>
      <c r="O10" t="s" s="230">
        <v>127</v>
      </c>
      <c r="P10" t="s" s="266">
        <v>128</v>
      </c>
      <c r="Q10" s="380"/>
      <c r="R10" s="219"/>
      <c r="S10" s="381"/>
      <c r="T10" t="s" s="267">
        <v>129</v>
      </c>
      <c r="U10" s="268"/>
      <c r="V10" t="s" s="269">
        <v>130</v>
      </c>
      <c r="W10" t="s" s="267">
        <v>131</v>
      </c>
      <c r="X10" t="s" s="269">
        <v>130</v>
      </c>
      <c r="Y10" s="255"/>
      <c r="Z10" s="256"/>
      <c r="AA10" s="256"/>
      <c r="AB10" t="s" s="667">
        <v>115</v>
      </c>
      <c r="AC10" t="s" s="270">
        <v>115</v>
      </c>
      <c r="AD10" t="s" s="269">
        <v>132</v>
      </c>
      <c r="AE10" t="s" s="267">
        <v>133</v>
      </c>
      <c r="AF10" t="s" s="270">
        <v>134</v>
      </c>
      <c r="AG10" t="s" s="269">
        <v>135</v>
      </c>
      <c r="AH10" s="668"/>
      <c r="AI10" s="669"/>
      <c r="AJ10" s="380"/>
      <c r="AK10" s="161"/>
      <c r="AL10" s="161"/>
      <c r="AM10" s="161"/>
      <c r="AN10" s="161"/>
      <c r="AO10" s="161"/>
      <c r="AP10" s="161"/>
      <c r="AQ10" s="161"/>
      <c r="AR10" s="161"/>
      <c r="AS10" s="161"/>
      <c r="AT10" s="161"/>
      <c r="AU10" s="161"/>
      <c r="AV10" s="161"/>
      <c r="AW10" s="161"/>
      <c r="AX10" s="161"/>
      <c r="AY10" s="161"/>
      <c r="AZ10" s="161"/>
      <c r="BA10" s="161"/>
      <c r="BB10" s="161"/>
      <c r="BC10" s="161"/>
      <c r="BD10" s="161"/>
      <c r="BE10" s="161"/>
      <c r="BF10" s="161"/>
      <c r="BG10" s="161"/>
      <c r="BH10" s="161"/>
      <c r="BI10" s="161"/>
      <c r="BJ10" s="161"/>
      <c r="BK10" s="161"/>
      <c r="BL10" s="161"/>
      <c r="BM10" s="161"/>
      <c r="BN10" s="161"/>
      <c r="BO10" s="161"/>
      <c r="BP10" s="161"/>
      <c r="BQ10" s="161"/>
      <c r="BR10" s="161"/>
      <c r="BS10" s="161"/>
      <c r="BT10" s="161"/>
      <c r="BU10" s="161"/>
      <c r="BV10" s="161"/>
      <c r="BW10" s="161"/>
      <c r="BX10" s="664"/>
    </row>
    <row r="11" ht="29.1" customHeight="1">
      <c r="A11" s="242"/>
      <c r="B11" s="272">
        <v>1</v>
      </c>
      <c r="C11" t="s" s="670">
        <v>299</v>
      </c>
      <c r="D11" s="500"/>
      <c r="E11" s="275"/>
      <c r="F11" s="671"/>
      <c r="G11" s="277"/>
      <c r="H11" s="278"/>
      <c r="I11" s="279"/>
      <c r="J11" s="280"/>
      <c r="K11" s="672"/>
      <c r="L11" t="s" s="505">
        <f>IF(D11="","",_xlfn.IFERROR(IF(I11="","",((I11/1000)*V11*X11)*AD11),"This intervention is not permitted within the SSM ▲"))</f>
      </c>
      <c r="M11" t="s" s="506">
        <f>IF(I11="","",IF(J11+K11&gt;I11,"Length Error ▲",I11-J11-K11))</f>
      </c>
      <c r="N11" t="s" s="673">
        <f>_xlfn.IFERROR(IF(I11="","",IF(M11="Length Error ▲","Length Error ▲",((M11/1000)*V11*X11)*AD11)),"This intervention is not permitted within the SSM ▲")</f>
      </c>
      <c r="O11" s="674"/>
      <c r="P11" s="284"/>
      <c r="Q11" s="380"/>
      <c r="R11" s="219"/>
      <c r="S11" s="381"/>
      <c r="T11" t="s" s="285">
        <f>IF(D11="","",VLOOKUP(D11,'9. All Habitats + Multipliers'!$C$4:$K$102,5,FALSE))</f>
      </c>
      <c r="U11" s="286"/>
      <c r="V11" t="s" s="313">
        <f>IF(T11="","",VLOOKUP(T11,'11. Lists'!$S$47:$U$50,2,FALSE))</f>
      </c>
      <c r="W11" t="s" s="285">
        <f>IF(D11="","",VLOOKUP(D11,'10. Condition and Temporal'!$B$6:$C$103,2,FALSE))</f>
      </c>
      <c r="X11" t="s" s="313">
        <f>IF(W11="","",VLOOKUP(W11,'11. Lists'!$F$47:$G$51,2,FALSE))</f>
      </c>
      <c r="Y11" s="288"/>
      <c r="Z11" s="289"/>
      <c r="AA11" s="289"/>
      <c r="AB11" t="s" s="675">
        <f>IF(F11="","",F11)</f>
      </c>
      <c r="AC11" t="s" s="291">
        <f>IF(AB11="","",VLOOKUP(AB11,'11. Lists'!$F$36:$H$38,2,FALSE))</f>
      </c>
      <c r="AD11" t="s" s="313">
        <f>IF(AB11="","",VLOOKUP(AB11,'11. Lists'!$F$36:$H$38,3,FALSE))</f>
      </c>
      <c r="AE11" t="s" s="285">
        <f>IF(D11="","",((J11/1000)*V11*X11)*AD11)</f>
      </c>
      <c r="AF11" t="s" s="291">
        <f>IF(D11="","",((K11/1000)*V11*X11)*AD11)</f>
      </c>
      <c r="AG11" t="s" s="313">
        <f>IF(D11="","",M11)</f>
      </c>
      <c r="AH11" t="s" s="285">
        <f>IF(T11="","",VLOOKUP(T11,'11. Lists'!$B$47:$D$49,3,FALSE))</f>
      </c>
      <c r="AI11" t="s" s="313">
        <f>IF(D11="","",VLOOKUP(D11,'10. Condition and Temporal'!$B$6:$L$103,4,FALSE))</f>
      </c>
      <c r="AJ11" s="380"/>
      <c r="AK11" s="161"/>
      <c r="AL11" s="161"/>
      <c r="AM11" s="161"/>
      <c r="AN11" s="161"/>
      <c r="AO11" s="161"/>
      <c r="AP11" s="161"/>
      <c r="AQ11" s="161"/>
      <c r="AR11" s="161"/>
      <c r="AS11" s="161"/>
      <c r="AT11" s="161"/>
      <c r="AU11" s="161"/>
      <c r="AV11" s="161"/>
      <c r="AW11" s="161"/>
      <c r="AX11" s="161"/>
      <c r="AY11" s="161"/>
      <c r="AZ11" s="161"/>
      <c r="BA11" s="161"/>
      <c r="BB11" s="161"/>
      <c r="BC11" s="161"/>
      <c r="BD11" s="161"/>
      <c r="BE11" s="161"/>
      <c r="BF11" s="161"/>
      <c r="BG11" s="161"/>
      <c r="BH11" s="161"/>
      <c r="BI11" s="161"/>
      <c r="BJ11" s="161"/>
      <c r="BK11" s="161"/>
      <c r="BL11" s="161"/>
      <c r="BM11" s="161"/>
      <c r="BN11" s="161"/>
      <c r="BO11" s="161"/>
      <c r="BP11" s="161"/>
      <c r="BQ11" s="161"/>
      <c r="BR11" s="161"/>
      <c r="BS11" s="161"/>
      <c r="BT11" s="161"/>
      <c r="BU11" s="161"/>
      <c r="BV11" s="161"/>
      <c r="BW11" s="161"/>
      <c r="BX11" s="664"/>
    </row>
    <row r="12" ht="29.1" customHeight="1">
      <c r="A12" s="379"/>
      <c r="B12" s="296">
        <v>2</v>
      </c>
      <c r="C12" t="s" s="670">
        <v>299</v>
      </c>
      <c r="D12" s="314"/>
      <c r="E12" s="315"/>
      <c r="F12" s="310"/>
      <c r="G12" s="301"/>
      <c r="H12" s="299"/>
      <c r="I12" s="302"/>
      <c r="J12" s="303"/>
      <c r="K12" s="676"/>
      <c r="L12" t="s" s="418">
        <f>IF(D12="","",_xlfn.IFERROR(IF(I12="","",((I12/1000)*V12*X12)*AD12),"This intervention is not permitted within the SSM ▲"))</f>
      </c>
      <c r="M12" t="s" s="311">
        <f>IF(I12="","",IF(J12+K12&gt;I12,"Length Error ▲",I12-J12-K12))</f>
      </c>
      <c r="N12" t="s" s="677">
        <f>_xlfn.IFERROR(IF(I12="","",IF(M12="Length Error ▲","Length Error ▲",((M12/1000)*V12*X12)*AD12)),"This intervention is not permitted within the SSM ▲")</f>
      </c>
      <c r="O12" s="678"/>
      <c r="P12" s="307"/>
      <c r="Q12" s="380"/>
      <c r="R12" s="219"/>
      <c r="S12" s="381"/>
      <c r="T12" t="s" s="285">
        <f>IF(D12="","",VLOOKUP(D12,'9. All Habitats + Multipliers'!$C$4:$K$102,5,FALSE))</f>
      </c>
      <c r="U12" s="286"/>
      <c r="V12" t="s" s="313">
        <f>IF(T12="","",VLOOKUP(T12,'11. Lists'!$S$47:$U$50,2,FALSE))</f>
      </c>
      <c r="W12" t="s" s="285">
        <f>IF(D12="","",VLOOKUP(D12,'10. Condition and Temporal'!$B$6:$C$103,2,FALSE))</f>
      </c>
      <c r="X12" t="s" s="313">
        <f>IF(W12="","",VLOOKUP(W12,'11. Lists'!$F$47:$G$51,2,FALSE))</f>
      </c>
      <c r="Y12" s="288"/>
      <c r="Z12" s="289"/>
      <c r="AA12" s="289"/>
      <c r="AB12" t="s" s="675">
        <f>IF(F12="","",F12)</f>
      </c>
      <c r="AC12" t="s" s="291">
        <f>IF(AB12="","",VLOOKUP(AB12,'11. Lists'!$F$36:$H$38,2,FALSE))</f>
      </c>
      <c r="AD12" t="s" s="313">
        <f>IF(AB12="","",VLOOKUP(AB12,'11. Lists'!$F$36:$H$38,3,FALSE))</f>
      </c>
      <c r="AE12" t="s" s="285">
        <f>IF(D12="","",((J12/1000)*V12*X12)*AD12)</f>
      </c>
      <c r="AF12" t="s" s="291">
        <f>IF(D12="","",((K12/1000)*V12*X12)*AD12)</f>
      </c>
      <c r="AG12" t="s" s="313">
        <f>IF(D12="","",M12)</f>
      </c>
      <c r="AH12" t="s" s="285">
        <f>IF(T12="","",VLOOKUP(T12,'11. Lists'!$B$47:$D$49,3,FALSE))</f>
      </c>
      <c r="AI12" t="s" s="313">
        <f>IF(D12="","",VLOOKUP(D12,'10. Condition and Temporal'!$B$6:$L$103,4,FALSE))</f>
      </c>
      <c r="AJ12" s="380"/>
      <c r="AK12" s="161"/>
      <c r="AL12" s="161"/>
      <c r="AM12" s="161"/>
      <c r="AN12" s="161"/>
      <c r="AO12" s="161"/>
      <c r="AP12" s="161"/>
      <c r="AQ12" s="161"/>
      <c r="AR12" s="161"/>
      <c r="AS12" s="161"/>
      <c r="AT12" s="161"/>
      <c r="AU12" s="161"/>
      <c r="AV12" s="161"/>
      <c r="AW12" s="161"/>
      <c r="AX12" s="161"/>
      <c r="AY12" s="161"/>
      <c r="AZ12" s="161"/>
      <c r="BA12" s="161"/>
      <c r="BB12" s="161"/>
      <c r="BC12" s="161"/>
      <c r="BD12" s="161"/>
      <c r="BE12" s="161"/>
      <c r="BF12" s="161"/>
      <c r="BG12" s="161"/>
      <c r="BH12" s="161"/>
      <c r="BI12" s="161"/>
      <c r="BJ12" s="161"/>
      <c r="BK12" s="161"/>
      <c r="BL12" s="161"/>
      <c r="BM12" s="161"/>
      <c r="BN12" s="161"/>
      <c r="BO12" s="161"/>
      <c r="BP12" s="161"/>
      <c r="BQ12" s="161"/>
      <c r="BR12" s="161"/>
      <c r="BS12" s="161"/>
      <c r="BT12" s="161"/>
      <c r="BU12" s="161"/>
      <c r="BV12" s="161"/>
      <c r="BW12" s="161"/>
      <c r="BX12" s="664"/>
    </row>
    <row r="13" ht="29.1" customHeight="1">
      <c r="A13" s="379"/>
      <c r="B13" s="296">
        <v>3</v>
      </c>
      <c r="C13" t="s" s="670">
        <v>299</v>
      </c>
      <c r="D13" s="314"/>
      <c r="E13" s="315"/>
      <c r="F13" s="310"/>
      <c r="G13" s="301"/>
      <c r="H13" s="299"/>
      <c r="I13" s="302"/>
      <c r="J13" s="303"/>
      <c r="K13" s="676"/>
      <c r="L13" t="s" s="418">
        <f>IF(D13="","",_xlfn.IFERROR(IF(I13="","",((I13/1000)*V13*X13)*AD13),"This intervention is not permitted within the SSM ▲"))</f>
      </c>
      <c r="M13" t="s" s="311">
        <f>IF(I13="","",IF(J13+K13&gt;I13,"Length Error ▲",I13-J13-K13))</f>
      </c>
      <c r="N13" t="s" s="677">
        <f>_xlfn.IFERROR(IF(I13="","",IF(M13="Length Error ▲","Length Error ▲",((M13/1000)*V13*X13)*AD13)),"This intervention is not permitted within the SSM ▲")</f>
      </c>
      <c r="O13" s="679"/>
      <c r="P13" s="307"/>
      <c r="Q13" s="380"/>
      <c r="R13" s="219"/>
      <c r="S13" s="381"/>
      <c r="T13" t="s" s="285">
        <f>IF(D13="","",VLOOKUP(D13,'9. All Habitats + Multipliers'!$C$4:$K$102,5,FALSE))</f>
      </c>
      <c r="U13" s="286"/>
      <c r="V13" t="s" s="313">
        <f>IF(T13="","",VLOOKUP(T13,'11. Lists'!$S$47:$U$50,2,FALSE))</f>
      </c>
      <c r="W13" t="s" s="285">
        <f>IF(D13="","",VLOOKUP(D13,'10. Condition and Temporal'!$B$6:$C$103,2,FALSE))</f>
      </c>
      <c r="X13" t="s" s="313">
        <f>IF(W13="","",VLOOKUP(W13,'11. Lists'!$F$47:$G$51,2,FALSE))</f>
      </c>
      <c r="Y13" s="288"/>
      <c r="Z13" s="289"/>
      <c r="AA13" s="289"/>
      <c r="AB13" t="s" s="675">
        <f>IF(F13="","",F13)</f>
      </c>
      <c r="AC13" t="s" s="291">
        <f>IF(AB13="","",VLOOKUP(AB13,'11. Lists'!$F$36:$H$38,2,FALSE))</f>
      </c>
      <c r="AD13" t="s" s="313">
        <f>IF(AB13="","",VLOOKUP(AB13,'11. Lists'!$F$36:$H$38,3,FALSE))</f>
      </c>
      <c r="AE13" t="s" s="285">
        <f>IF(D13="","",((J13/1000)*V13*X13)*AD13)</f>
      </c>
      <c r="AF13" t="s" s="291">
        <f>IF(D13="","",((K13/1000)*V13*X13)*AD13)</f>
      </c>
      <c r="AG13" t="s" s="313">
        <f>IF(D13="","",M13)</f>
      </c>
      <c r="AH13" t="s" s="285">
        <f>IF(T13="","",VLOOKUP(T13,'11. Lists'!$B$47:$D$49,3,FALSE))</f>
      </c>
      <c r="AI13" t="s" s="313">
        <f>IF(D13="","",VLOOKUP(D13,'10. Condition and Temporal'!$B$6:$L$103,4,FALSE))</f>
      </c>
      <c r="AJ13" s="380"/>
      <c r="AK13" s="161"/>
      <c r="AL13" s="161"/>
      <c r="AM13" s="161"/>
      <c r="AN13" s="161"/>
      <c r="AO13" s="161"/>
      <c r="AP13" s="161"/>
      <c r="AQ13" s="161"/>
      <c r="AR13" s="161"/>
      <c r="AS13" s="161"/>
      <c r="AT13" s="161"/>
      <c r="AU13" s="161"/>
      <c r="AV13" s="161"/>
      <c r="AW13" s="161"/>
      <c r="AX13" s="161"/>
      <c r="AY13" s="161"/>
      <c r="AZ13" s="161"/>
      <c r="BA13" s="161"/>
      <c r="BB13" s="161"/>
      <c r="BC13" s="161"/>
      <c r="BD13" s="161"/>
      <c r="BE13" s="161"/>
      <c r="BF13" s="161"/>
      <c r="BG13" s="161"/>
      <c r="BH13" s="161"/>
      <c r="BI13" s="161"/>
      <c r="BJ13" s="161"/>
      <c r="BK13" s="161"/>
      <c r="BL13" s="161"/>
      <c r="BM13" s="161"/>
      <c r="BN13" s="161"/>
      <c r="BO13" s="161"/>
      <c r="BP13" s="161"/>
      <c r="BQ13" s="161"/>
      <c r="BR13" s="161"/>
      <c r="BS13" s="161"/>
      <c r="BT13" s="161"/>
      <c r="BU13" s="161"/>
      <c r="BV13" s="161"/>
      <c r="BW13" s="161"/>
      <c r="BX13" s="664"/>
    </row>
    <row r="14" ht="29.1" customHeight="1">
      <c r="A14" s="379"/>
      <c r="B14" s="296">
        <v>4</v>
      </c>
      <c r="C14" t="s" s="670">
        <v>299</v>
      </c>
      <c r="D14" s="314"/>
      <c r="E14" s="315"/>
      <c r="F14" s="310"/>
      <c r="G14" s="301"/>
      <c r="H14" s="299"/>
      <c r="I14" s="302"/>
      <c r="J14" s="303"/>
      <c r="K14" s="676"/>
      <c r="L14" t="s" s="418">
        <f>IF(D14="","",_xlfn.IFERROR(IF(I14="","",((I14/1000)*V14*X14)*AD14),"This intervention is not permitted within the SSM ▲"))</f>
      </c>
      <c r="M14" t="s" s="311">
        <f>IF(I14="","",IF(J14+K14&gt;I14,"Length Error ▲",I14-J14-K14))</f>
      </c>
      <c r="N14" t="s" s="677">
        <f>_xlfn.IFERROR(IF(I14="","",IF(M14="Length Error ▲","Length Error ▲",((M14/1000)*V14*X14)*AD14)),"This intervention is not permitted within the SSM ▲")</f>
      </c>
      <c r="O14" s="678"/>
      <c r="P14" s="307"/>
      <c r="Q14" s="380"/>
      <c r="R14" s="219"/>
      <c r="S14" s="381"/>
      <c r="T14" t="s" s="285">
        <f>IF(D14="","",VLOOKUP(D14,'9. All Habitats + Multipliers'!$C$4:$K$102,5,FALSE))</f>
      </c>
      <c r="U14" s="286"/>
      <c r="V14" t="s" s="313">
        <f>IF(T14="","",VLOOKUP(T14,'11. Lists'!$S$47:$U$50,2,FALSE))</f>
      </c>
      <c r="W14" t="s" s="285">
        <f>IF(D14="","",VLOOKUP(D14,'10. Condition and Temporal'!$B$6:$C$103,2,FALSE))</f>
      </c>
      <c r="X14" t="s" s="313">
        <f>IF(W14="","",VLOOKUP(W14,'11. Lists'!$F$47:$G$51,2,FALSE))</f>
      </c>
      <c r="Y14" s="288"/>
      <c r="Z14" s="289"/>
      <c r="AA14" s="289"/>
      <c r="AB14" t="s" s="675">
        <f>IF(F14="","",F14)</f>
      </c>
      <c r="AC14" t="s" s="291">
        <f>IF(AB14="","",VLOOKUP(AB14,'11. Lists'!$F$36:$H$38,2,FALSE))</f>
      </c>
      <c r="AD14" t="s" s="313">
        <f>IF(AB14="","",VLOOKUP(AB14,'11. Lists'!$F$36:$H$38,3,FALSE))</f>
      </c>
      <c r="AE14" t="s" s="285">
        <f>IF(D14="","",((J14/1000)*V14*X14)*AD14)</f>
      </c>
      <c r="AF14" t="s" s="291">
        <f>IF(D14="","",((K14/1000)*V14*X14)*AD14)</f>
      </c>
      <c r="AG14" t="s" s="313">
        <f>IF(D14="","",M14)</f>
      </c>
      <c r="AH14" t="s" s="285">
        <f>IF(T14="","",VLOOKUP(T14,'11. Lists'!$B$47:$D$49,3,FALSE))</f>
      </c>
      <c r="AI14" t="s" s="313">
        <f>IF(D14="","",VLOOKUP(D14,'10. Condition and Temporal'!$B$6:$L$103,4,FALSE))</f>
      </c>
      <c r="AJ14" s="380"/>
      <c r="AK14" s="161"/>
      <c r="AL14" s="161"/>
      <c r="AM14" s="161"/>
      <c r="AN14" s="161"/>
      <c r="AO14" s="161"/>
      <c r="AP14" s="161"/>
      <c r="AQ14" s="161"/>
      <c r="AR14" s="161"/>
      <c r="AS14" s="161"/>
      <c r="AT14" s="161"/>
      <c r="AU14" s="161"/>
      <c r="AV14" s="161"/>
      <c r="AW14" s="161"/>
      <c r="AX14" s="161"/>
      <c r="AY14" s="161"/>
      <c r="AZ14" s="161"/>
      <c r="BA14" s="161"/>
      <c r="BB14" s="161"/>
      <c r="BC14" s="161"/>
      <c r="BD14" s="161"/>
      <c r="BE14" s="161"/>
      <c r="BF14" s="161"/>
      <c r="BG14" s="161"/>
      <c r="BH14" s="161"/>
      <c r="BI14" s="161"/>
      <c r="BJ14" s="161"/>
      <c r="BK14" s="161"/>
      <c r="BL14" s="161"/>
      <c r="BM14" s="161"/>
      <c r="BN14" s="161"/>
      <c r="BO14" s="161"/>
      <c r="BP14" s="161"/>
      <c r="BQ14" s="161"/>
      <c r="BR14" s="161"/>
      <c r="BS14" s="161"/>
      <c r="BT14" s="161"/>
      <c r="BU14" s="161"/>
      <c r="BV14" s="161"/>
      <c r="BW14" s="161"/>
      <c r="BX14" s="664"/>
    </row>
    <row r="15" ht="29.1" customHeight="1">
      <c r="A15" s="379"/>
      <c r="B15" s="296">
        <v>5</v>
      </c>
      <c r="C15" t="s" s="670">
        <v>299</v>
      </c>
      <c r="D15" s="314"/>
      <c r="E15" s="315"/>
      <c r="F15" s="310"/>
      <c r="G15" s="301"/>
      <c r="H15" s="299"/>
      <c r="I15" s="302"/>
      <c r="J15" s="303"/>
      <c r="K15" s="676"/>
      <c r="L15" t="s" s="418">
        <f>IF(D15="","",_xlfn.IFERROR(IF(I15="","",((I15/1000)*V15*X15)*AD15),"This intervention is not permitted within the SSM ▲"))</f>
      </c>
      <c r="M15" t="s" s="311">
        <f>IF(I15="","",IF(J15+K15&gt;I15,"Length Error ▲",I15-J15-K15))</f>
      </c>
      <c r="N15" t="s" s="677">
        <f>_xlfn.IFERROR(IF(I15="","",IF(M15="Length Error ▲","Length Error ▲",((M15/1000)*V15*X15)*AD15)),"This intervention is not permitted within the SSM ▲")</f>
      </c>
      <c r="O15" s="678"/>
      <c r="P15" s="307"/>
      <c r="Q15" s="380"/>
      <c r="R15" s="219"/>
      <c r="S15" s="381"/>
      <c r="T15" t="s" s="285">
        <f>IF(D15="","",VLOOKUP(D15,'9. All Habitats + Multipliers'!$C$4:$K$102,5,FALSE))</f>
      </c>
      <c r="U15" s="286"/>
      <c r="V15" t="s" s="313">
        <f>IF(T15="","",VLOOKUP(T15,'11. Lists'!$S$47:$U$50,2,FALSE))</f>
      </c>
      <c r="W15" t="s" s="285">
        <f>IF(D15="","",VLOOKUP(D15,'10. Condition and Temporal'!$B$6:$C$103,2,FALSE))</f>
      </c>
      <c r="X15" t="s" s="313">
        <f>IF(W15="","",VLOOKUP(W15,'11. Lists'!$F$47:$G$51,2,FALSE))</f>
      </c>
      <c r="Y15" s="288"/>
      <c r="Z15" s="289"/>
      <c r="AA15" s="289"/>
      <c r="AB15" t="s" s="675">
        <f>IF(F15="","",F15)</f>
      </c>
      <c r="AC15" t="s" s="291">
        <f>IF(AB15="","",VLOOKUP(AB15,'11. Lists'!$F$36:$H$38,2,FALSE))</f>
      </c>
      <c r="AD15" t="s" s="313">
        <f>IF(AB15="","",VLOOKUP(AB15,'11. Lists'!$F$36:$H$38,3,FALSE))</f>
      </c>
      <c r="AE15" t="s" s="285">
        <f>IF(D15="","",((J15/1000)*V15*X15)*AD15)</f>
      </c>
      <c r="AF15" t="s" s="291">
        <f>IF(D15="","",((K15/1000)*V15*X15)*AD15)</f>
      </c>
      <c r="AG15" t="s" s="313">
        <f>IF(D15="","",M15)</f>
      </c>
      <c r="AH15" t="s" s="285">
        <f>IF(T15="","",VLOOKUP(T15,'11. Lists'!$B$47:$D$49,3,FALSE))</f>
      </c>
      <c r="AI15" t="s" s="313">
        <f>IF(D15="","",VLOOKUP(D15,'10. Condition and Temporal'!$B$6:$L$103,4,FALSE))</f>
      </c>
      <c r="AJ15" s="380"/>
      <c r="AK15" s="161"/>
      <c r="AL15" s="161"/>
      <c r="AM15" s="161"/>
      <c r="AN15" s="161"/>
      <c r="AO15" s="161"/>
      <c r="AP15" s="161"/>
      <c r="AQ15" s="161"/>
      <c r="AR15" s="161"/>
      <c r="AS15" s="161"/>
      <c r="AT15" s="161"/>
      <c r="AU15" s="161"/>
      <c r="AV15" s="161"/>
      <c r="AW15" s="161"/>
      <c r="AX15" s="161"/>
      <c r="AY15" s="161"/>
      <c r="AZ15" s="161"/>
      <c r="BA15" s="161"/>
      <c r="BB15" s="161"/>
      <c r="BC15" s="161"/>
      <c r="BD15" s="161"/>
      <c r="BE15" s="161"/>
      <c r="BF15" s="161"/>
      <c r="BG15" s="161"/>
      <c r="BH15" s="161"/>
      <c r="BI15" s="161"/>
      <c r="BJ15" s="161"/>
      <c r="BK15" s="161"/>
      <c r="BL15" s="161"/>
      <c r="BM15" s="161"/>
      <c r="BN15" s="161"/>
      <c r="BO15" s="161"/>
      <c r="BP15" s="161"/>
      <c r="BQ15" s="161"/>
      <c r="BR15" s="161"/>
      <c r="BS15" s="161"/>
      <c r="BT15" s="161"/>
      <c r="BU15" s="161"/>
      <c r="BV15" s="161"/>
      <c r="BW15" s="161"/>
      <c r="BX15" s="664"/>
    </row>
    <row r="16" ht="29.1" customHeight="1">
      <c r="A16" s="379"/>
      <c r="B16" s="296">
        <v>6</v>
      </c>
      <c r="C16" t="s" s="670">
        <v>299</v>
      </c>
      <c r="D16" s="314"/>
      <c r="E16" s="315"/>
      <c r="F16" s="310"/>
      <c r="G16" s="301"/>
      <c r="H16" s="299"/>
      <c r="I16" s="302"/>
      <c r="J16" s="303"/>
      <c r="K16" s="676"/>
      <c r="L16" t="s" s="418">
        <f>IF(D16="","",_xlfn.IFERROR(IF(I16="","",((I16/1000)*V16*X16)*AD16),"This intervention is not permitted within the SSM ▲"))</f>
      </c>
      <c r="M16" t="s" s="311">
        <f>IF(I16="","",IF(J16+K16&gt;I16,"Length Error ▲",I16-J16-K16))</f>
      </c>
      <c r="N16" t="s" s="677">
        <f>_xlfn.IFERROR(IF(I16="","",IF(M16="Length Error ▲","Length Error ▲",((M16/1000)*V16*X16)*AD16)),"This intervention is not permitted within the SSM ▲")</f>
      </c>
      <c r="O16" s="678"/>
      <c r="P16" s="307"/>
      <c r="Q16" s="380"/>
      <c r="R16" s="219"/>
      <c r="S16" s="381"/>
      <c r="T16" t="s" s="285">
        <f>IF(D16="","",VLOOKUP(D16,'9. All Habitats + Multipliers'!$C$4:$K$102,5,FALSE))</f>
      </c>
      <c r="U16" s="286"/>
      <c r="V16" t="s" s="313">
        <f>IF(T16="","",VLOOKUP(T16,'11. Lists'!$S$47:$U$50,2,FALSE))</f>
      </c>
      <c r="W16" t="s" s="285">
        <f>IF(D16="","",VLOOKUP(D16,'10. Condition and Temporal'!$B$6:$C$103,2,FALSE))</f>
      </c>
      <c r="X16" t="s" s="313">
        <f>IF(W16="","",VLOOKUP(W16,'11. Lists'!$F$47:$G$51,2,FALSE))</f>
      </c>
      <c r="Y16" s="288"/>
      <c r="Z16" s="289"/>
      <c r="AA16" s="289"/>
      <c r="AB16" t="s" s="675">
        <f>IF(F16="","",F16)</f>
      </c>
      <c r="AC16" t="s" s="291">
        <f>IF(AB16="","",VLOOKUP(AB16,'11. Lists'!$F$36:$H$38,2,FALSE))</f>
      </c>
      <c r="AD16" t="s" s="313">
        <f>IF(AB16="","",VLOOKUP(AB16,'11. Lists'!$F$36:$H$38,3,FALSE))</f>
      </c>
      <c r="AE16" t="s" s="285">
        <f>IF(D16="","",((J16/1000)*V16*X16)*AD16)</f>
      </c>
      <c r="AF16" t="s" s="291">
        <f>IF(D16="","",((K16/1000)*V16*X16)*AD16)</f>
      </c>
      <c r="AG16" t="s" s="313">
        <f>IF(D16="","",M16)</f>
      </c>
      <c r="AH16" t="s" s="285">
        <f>IF(T16="","",VLOOKUP(T16,'11. Lists'!$B$47:$D$49,3,FALSE))</f>
      </c>
      <c r="AI16" t="s" s="313">
        <f>IF(D16="","",VLOOKUP(D16,'10. Condition and Temporal'!$B$6:$L$103,4,FALSE))</f>
      </c>
      <c r="AJ16" s="380"/>
      <c r="AK16" s="161"/>
      <c r="AL16" s="161"/>
      <c r="AM16" s="161"/>
      <c r="AN16" s="161"/>
      <c r="AO16" s="161"/>
      <c r="AP16" s="161"/>
      <c r="AQ16" s="161"/>
      <c r="AR16" s="161"/>
      <c r="AS16" s="161"/>
      <c r="AT16" s="161"/>
      <c r="AU16" s="161"/>
      <c r="AV16" s="161"/>
      <c r="AW16" s="161"/>
      <c r="AX16" s="161"/>
      <c r="AY16" s="161"/>
      <c r="AZ16" s="161"/>
      <c r="BA16" s="161"/>
      <c r="BB16" s="161"/>
      <c r="BC16" s="161"/>
      <c r="BD16" s="161"/>
      <c r="BE16" s="161"/>
      <c r="BF16" s="161"/>
      <c r="BG16" s="161"/>
      <c r="BH16" s="161"/>
      <c r="BI16" s="161"/>
      <c r="BJ16" s="161"/>
      <c r="BK16" s="161"/>
      <c r="BL16" s="161"/>
      <c r="BM16" s="161"/>
      <c r="BN16" s="161"/>
      <c r="BO16" s="161"/>
      <c r="BP16" s="161"/>
      <c r="BQ16" s="161"/>
      <c r="BR16" s="161"/>
      <c r="BS16" s="161"/>
      <c r="BT16" s="161"/>
      <c r="BU16" s="161"/>
      <c r="BV16" s="161"/>
      <c r="BW16" s="161"/>
      <c r="BX16" s="664"/>
    </row>
    <row r="17" ht="29.1" customHeight="1">
      <c r="A17" s="379"/>
      <c r="B17" s="296">
        <v>7</v>
      </c>
      <c r="C17" t="s" s="670">
        <v>299</v>
      </c>
      <c r="D17" s="314"/>
      <c r="E17" s="315"/>
      <c r="F17" s="310"/>
      <c r="G17" s="301"/>
      <c r="H17" s="299"/>
      <c r="I17" s="302"/>
      <c r="J17" s="303"/>
      <c r="K17" s="676"/>
      <c r="L17" t="s" s="418">
        <f>IF(D17="","",_xlfn.IFERROR(IF(I17="","",((I17/1000)*V17*X17)*AD17),"This intervention is not permitted within the SSM ▲"))</f>
      </c>
      <c r="M17" t="s" s="311">
        <f>IF(I17="","",IF(J17+K17&gt;I17,"Length Error ▲",I17-J17-K17))</f>
      </c>
      <c r="N17" t="s" s="677">
        <f>_xlfn.IFERROR(IF(I17="","",IF(M17="Length Error ▲","Length Error ▲",((M17/1000)*V17*X17)*AD17)),"This intervention is not permitted within the SSM ▲")</f>
      </c>
      <c r="O17" s="678"/>
      <c r="P17" s="307"/>
      <c r="Q17" s="380"/>
      <c r="R17" s="219"/>
      <c r="S17" s="381"/>
      <c r="T17" t="s" s="285">
        <f>IF(D17="","",VLOOKUP(D17,'9. All Habitats + Multipliers'!$C$4:$K$102,5,FALSE))</f>
      </c>
      <c r="U17" s="286"/>
      <c r="V17" t="s" s="313">
        <f>IF(T17="","",VLOOKUP(T17,'11. Lists'!$S$47:$U$50,2,FALSE))</f>
      </c>
      <c r="W17" t="s" s="285">
        <f>IF(D17="","",VLOOKUP(D17,'10. Condition and Temporal'!$B$6:$C$103,2,FALSE))</f>
      </c>
      <c r="X17" t="s" s="313">
        <f>IF(W17="","",VLOOKUP(W17,'11. Lists'!$F$47:$G$51,2,FALSE))</f>
      </c>
      <c r="Y17" s="288"/>
      <c r="Z17" s="289"/>
      <c r="AA17" s="289"/>
      <c r="AB17" t="s" s="675">
        <f>IF(F17="","",F17)</f>
      </c>
      <c r="AC17" t="s" s="291">
        <f>IF(AB17="","",VLOOKUP(AB17,'11. Lists'!$F$36:$H$38,2,FALSE))</f>
      </c>
      <c r="AD17" t="s" s="313">
        <f>IF(AB17="","",VLOOKUP(AB17,'11. Lists'!$F$36:$H$38,3,FALSE))</f>
      </c>
      <c r="AE17" t="s" s="285">
        <f>IF(D17="","",((J17/1000)*V17*X17)*AD17)</f>
      </c>
      <c r="AF17" t="s" s="291">
        <f>IF(D17="","",((K17/1000)*V17*X17)*AD17)</f>
      </c>
      <c r="AG17" t="s" s="313">
        <f>IF(D17="","",M17)</f>
      </c>
      <c r="AH17" t="s" s="285">
        <f>IF(T17="","",VLOOKUP(T17,'11. Lists'!$B$47:$D$49,3,FALSE))</f>
      </c>
      <c r="AI17" t="s" s="313">
        <f>IF(D17="","",VLOOKUP(D17,'10. Condition and Temporal'!$B$6:$L$103,4,FALSE))</f>
      </c>
      <c r="AJ17" s="380"/>
      <c r="AK17" s="161"/>
      <c r="AL17" s="161"/>
      <c r="AM17" s="161"/>
      <c r="AN17" s="161"/>
      <c r="AO17" s="161"/>
      <c r="AP17" s="161"/>
      <c r="AQ17" s="161"/>
      <c r="AR17" s="161"/>
      <c r="AS17" s="161"/>
      <c r="AT17" s="161"/>
      <c r="AU17" s="161"/>
      <c r="AV17" s="161"/>
      <c r="AW17" s="161"/>
      <c r="AX17" s="161"/>
      <c r="AY17" s="161"/>
      <c r="AZ17" s="161"/>
      <c r="BA17" s="161"/>
      <c r="BB17" s="161"/>
      <c r="BC17" s="161"/>
      <c r="BD17" s="161"/>
      <c r="BE17" s="161"/>
      <c r="BF17" s="161"/>
      <c r="BG17" s="161"/>
      <c r="BH17" s="161"/>
      <c r="BI17" s="161"/>
      <c r="BJ17" s="161"/>
      <c r="BK17" s="161"/>
      <c r="BL17" s="161"/>
      <c r="BM17" s="161"/>
      <c r="BN17" s="161"/>
      <c r="BO17" s="161"/>
      <c r="BP17" s="161"/>
      <c r="BQ17" s="161"/>
      <c r="BR17" s="161"/>
      <c r="BS17" s="161"/>
      <c r="BT17" s="161"/>
      <c r="BU17" s="161"/>
      <c r="BV17" s="161"/>
      <c r="BW17" s="161"/>
      <c r="BX17" s="664"/>
    </row>
    <row r="18" ht="29.1" customHeight="1">
      <c r="A18" s="379"/>
      <c r="B18" s="296">
        <v>8</v>
      </c>
      <c r="C18" t="s" s="670">
        <v>299</v>
      </c>
      <c r="D18" s="314"/>
      <c r="E18" s="315"/>
      <c r="F18" s="310"/>
      <c r="G18" s="301"/>
      <c r="H18" s="299"/>
      <c r="I18" s="302"/>
      <c r="J18" s="303"/>
      <c r="K18" s="676"/>
      <c r="L18" t="s" s="418">
        <f>IF(D18="","",_xlfn.IFERROR(IF(I18="","",((I18/1000)*V18*X18)*AD18),"This intervention is not permitted within the SSM ▲"))</f>
      </c>
      <c r="M18" t="s" s="311">
        <f>IF(I18="","",IF(J18+K18&gt;I18,"Length Error ▲",I18-J18-K18))</f>
      </c>
      <c r="N18" t="s" s="677">
        <f>_xlfn.IFERROR(IF(I18="","",IF(M18="Length Error ▲","Length Error ▲",((M18/1000)*V18*X18)*AD18)),"This intervention is not permitted within the SSM ▲")</f>
      </c>
      <c r="O18" s="678"/>
      <c r="P18" s="307"/>
      <c r="Q18" s="380"/>
      <c r="R18" s="219"/>
      <c r="S18" s="381"/>
      <c r="T18" t="s" s="285">
        <f>IF(D18="","",VLOOKUP(D18,'9. All Habitats + Multipliers'!$C$4:$K$102,5,FALSE))</f>
      </c>
      <c r="U18" s="286"/>
      <c r="V18" t="s" s="313">
        <f>IF(T18="","",VLOOKUP(T18,'11. Lists'!$S$47:$U$50,2,FALSE))</f>
      </c>
      <c r="W18" t="s" s="285">
        <f>IF(D18="","",VLOOKUP(D18,'10. Condition and Temporal'!$B$6:$C$103,2,FALSE))</f>
      </c>
      <c r="X18" t="s" s="313">
        <f>IF(W18="","",VLOOKUP(W18,'11. Lists'!$F$47:$G$51,2,FALSE))</f>
      </c>
      <c r="Y18" s="288"/>
      <c r="Z18" s="289"/>
      <c r="AA18" s="289"/>
      <c r="AB18" t="s" s="675">
        <f>IF(F18="","",F18)</f>
      </c>
      <c r="AC18" t="s" s="291">
        <f>IF(AB18="","",VLOOKUP(AB18,'11. Lists'!$F$36:$H$38,2,FALSE))</f>
      </c>
      <c r="AD18" t="s" s="313">
        <f>IF(AB18="","",VLOOKUP(AB18,'11. Lists'!$F$36:$H$38,3,FALSE))</f>
      </c>
      <c r="AE18" t="s" s="285">
        <f>IF(D18="","",((J18/1000)*V18*X18)*AD18)</f>
      </c>
      <c r="AF18" t="s" s="291">
        <f>IF(D18="","",((K18/1000)*V18*X18)*AD18)</f>
      </c>
      <c r="AG18" t="s" s="313">
        <f>IF(D18="","",M18)</f>
      </c>
      <c r="AH18" t="s" s="285">
        <f>IF(T18="","",VLOOKUP(T18,'11. Lists'!$B$47:$D$49,3,FALSE))</f>
      </c>
      <c r="AI18" t="s" s="313">
        <f>IF(D18="","",VLOOKUP(D18,'10. Condition and Temporal'!$B$6:$L$103,4,FALSE))</f>
      </c>
      <c r="AJ18" s="380"/>
      <c r="AK18" s="161"/>
      <c r="AL18" s="161"/>
      <c r="AM18" s="161"/>
      <c r="AN18" s="161"/>
      <c r="AO18" s="161"/>
      <c r="AP18" s="161"/>
      <c r="AQ18" s="161"/>
      <c r="AR18" s="161"/>
      <c r="AS18" s="161"/>
      <c r="AT18" s="161"/>
      <c r="AU18" s="161"/>
      <c r="AV18" s="161"/>
      <c r="AW18" s="161"/>
      <c r="AX18" s="161"/>
      <c r="AY18" s="161"/>
      <c r="AZ18" s="161"/>
      <c r="BA18" s="161"/>
      <c r="BB18" s="161"/>
      <c r="BC18" s="161"/>
      <c r="BD18" s="161"/>
      <c r="BE18" s="161"/>
      <c r="BF18" s="161"/>
      <c r="BG18" s="161"/>
      <c r="BH18" s="161"/>
      <c r="BI18" s="161"/>
      <c r="BJ18" s="161"/>
      <c r="BK18" s="161"/>
      <c r="BL18" s="161"/>
      <c r="BM18" s="161"/>
      <c r="BN18" s="161"/>
      <c r="BO18" s="161"/>
      <c r="BP18" s="161"/>
      <c r="BQ18" s="161"/>
      <c r="BR18" s="161"/>
      <c r="BS18" s="161"/>
      <c r="BT18" s="161"/>
      <c r="BU18" s="161"/>
      <c r="BV18" s="161"/>
      <c r="BW18" s="161"/>
      <c r="BX18" s="664"/>
    </row>
    <row r="19" ht="29.1" customHeight="1">
      <c r="A19" s="379"/>
      <c r="B19" s="296">
        <v>9</v>
      </c>
      <c r="C19" t="s" s="670">
        <v>299</v>
      </c>
      <c r="D19" s="314"/>
      <c r="E19" s="315"/>
      <c r="F19" s="310"/>
      <c r="G19" s="301"/>
      <c r="H19" s="299"/>
      <c r="I19" s="302"/>
      <c r="J19" s="303"/>
      <c r="K19" s="676"/>
      <c r="L19" t="s" s="418">
        <f>IF(D19="","",_xlfn.IFERROR(IF(I19="","",((I19/1000)*V19*X19)*AD19),"This intervention is not permitted within the SSM ▲"))</f>
      </c>
      <c r="M19" t="s" s="311">
        <f>IF(I19="","",IF(J19+K19&gt;I19,"Length Error ▲",I19-J19-K19))</f>
      </c>
      <c r="N19" t="s" s="677">
        <f>_xlfn.IFERROR(IF(I19="","",IF(M19="Length Error ▲","Length Error ▲",((M19/1000)*V19*X19)*AD19)),"This intervention is not permitted within the SSM ▲")</f>
      </c>
      <c r="O19" s="678"/>
      <c r="P19" s="307"/>
      <c r="Q19" s="380"/>
      <c r="R19" s="219"/>
      <c r="S19" s="381"/>
      <c r="T19" t="s" s="285">
        <f>IF(D19="","",VLOOKUP(D19,'9. All Habitats + Multipliers'!$C$4:$K$102,5,FALSE))</f>
      </c>
      <c r="U19" s="286"/>
      <c r="V19" t="s" s="313">
        <f>IF(T19="","",VLOOKUP(T19,'11. Lists'!$S$47:$U$50,2,FALSE))</f>
      </c>
      <c r="W19" t="s" s="285">
        <f>IF(D19="","",VLOOKUP(D19,'10. Condition and Temporal'!$B$6:$C$103,2,FALSE))</f>
      </c>
      <c r="X19" t="s" s="313">
        <f>IF(W19="","",VLOOKUP(W19,'11. Lists'!$F$47:$G$51,2,FALSE))</f>
      </c>
      <c r="Y19" s="288"/>
      <c r="Z19" s="289"/>
      <c r="AA19" s="289"/>
      <c r="AB19" t="s" s="675">
        <f>IF(F19="","",F19)</f>
      </c>
      <c r="AC19" t="s" s="291">
        <f>IF(AB19="","",VLOOKUP(AB19,'11. Lists'!$F$36:$H$38,2,FALSE))</f>
      </c>
      <c r="AD19" t="s" s="313">
        <f>IF(AB19="","",VLOOKUP(AB19,'11. Lists'!$F$36:$H$38,3,FALSE))</f>
      </c>
      <c r="AE19" t="s" s="285">
        <f>IF(D19="","",((J19/1000)*V19*X19)*AD19)</f>
      </c>
      <c r="AF19" t="s" s="291">
        <f>IF(D19="","",((K19/1000)*V19*X19)*AD19)</f>
      </c>
      <c r="AG19" t="s" s="313">
        <f>IF(D19="","",M19)</f>
      </c>
      <c r="AH19" t="s" s="285">
        <f>IF(T19="","",VLOOKUP(T19,'11. Lists'!$B$47:$D$49,3,FALSE))</f>
      </c>
      <c r="AI19" t="s" s="313">
        <f>IF(D19="","",VLOOKUP(D19,'10. Condition and Temporal'!$B$6:$L$103,4,FALSE))</f>
      </c>
      <c r="AJ19" s="380"/>
      <c r="AK19" s="161"/>
      <c r="AL19" s="161"/>
      <c r="AM19" s="161"/>
      <c r="AN19" s="161"/>
      <c r="AO19" s="161"/>
      <c r="AP19" s="161"/>
      <c r="AQ19" s="161"/>
      <c r="AR19" s="161"/>
      <c r="AS19" s="161"/>
      <c r="AT19" s="161"/>
      <c r="AU19" s="161"/>
      <c r="AV19" s="161"/>
      <c r="AW19" s="161"/>
      <c r="AX19" s="161"/>
      <c r="AY19" s="161"/>
      <c r="AZ19" s="161"/>
      <c r="BA19" s="161"/>
      <c r="BB19" s="161"/>
      <c r="BC19" s="161"/>
      <c r="BD19" s="161"/>
      <c r="BE19" s="161"/>
      <c r="BF19" s="161"/>
      <c r="BG19" s="161"/>
      <c r="BH19" s="161"/>
      <c r="BI19" s="161"/>
      <c r="BJ19" s="161"/>
      <c r="BK19" s="161"/>
      <c r="BL19" s="161"/>
      <c r="BM19" s="161"/>
      <c r="BN19" s="161"/>
      <c r="BO19" s="161"/>
      <c r="BP19" s="161"/>
      <c r="BQ19" s="161"/>
      <c r="BR19" s="161"/>
      <c r="BS19" s="161"/>
      <c r="BT19" s="161"/>
      <c r="BU19" s="161"/>
      <c r="BV19" s="161"/>
      <c r="BW19" s="161"/>
      <c r="BX19" s="664"/>
    </row>
    <row r="20" ht="29.1" customHeight="1">
      <c r="A20" s="379"/>
      <c r="B20" s="296">
        <v>10</v>
      </c>
      <c r="C20" t="s" s="670">
        <v>299</v>
      </c>
      <c r="D20" s="314"/>
      <c r="E20" s="315"/>
      <c r="F20" s="310"/>
      <c r="G20" s="301"/>
      <c r="H20" s="299"/>
      <c r="I20" s="302"/>
      <c r="J20" s="303"/>
      <c r="K20" s="676"/>
      <c r="L20" t="s" s="418">
        <f>IF(D20="","",_xlfn.IFERROR(IF(I20="","",((I20/1000)*V20*X20)*AD20),"This intervention is not permitted within the SSM ▲"))</f>
      </c>
      <c r="M20" t="s" s="311">
        <f>IF(I20="","",IF(J20+K20&gt;I20,"Length Error ▲",I20-J20-K20))</f>
      </c>
      <c r="N20" t="s" s="677">
        <f>_xlfn.IFERROR(IF(I20="","",IF(M20="Length Error ▲","Length Error ▲",((M20/1000)*V20*X20)*AD20)),"This intervention is not permitted within the SSM ▲")</f>
      </c>
      <c r="O20" s="678"/>
      <c r="P20" s="307"/>
      <c r="Q20" s="380"/>
      <c r="R20" s="219"/>
      <c r="S20" s="381"/>
      <c r="T20" t="s" s="285">
        <f>IF(D20="","",VLOOKUP(D20,'9. All Habitats + Multipliers'!$C$4:$K$102,5,FALSE))</f>
      </c>
      <c r="U20" s="286"/>
      <c r="V20" t="s" s="313">
        <f>IF(T20="","",VLOOKUP(T20,'11. Lists'!$S$47:$U$50,2,FALSE))</f>
      </c>
      <c r="W20" t="s" s="285">
        <f>IF(D20="","",VLOOKUP(D20,'10. Condition and Temporal'!$B$6:$C$103,2,FALSE))</f>
      </c>
      <c r="X20" t="s" s="313">
        <f>IF(W20="","",VLOOKUP(W20,'11. Lists'!$F$47:$G$51,2,FALSE))</f>
      </c>
      <c r="Y20" s="288"/>
      <c r="Z20" s="289"/>
      <c r="AA20" s="289"/>
      <c r="AB20" t="s" s="675">
        <f>IF(F20="","",F20)</f>
      </c>
      <c r="AC20" t="s" s="291">
        <f>IF(AB20="","",VLOOKUP(AB20,'11. Lists'!$F$36:$H$38,2,FALSE))</f>
      </c>
      <c r="AD20" t="s" s="313">
        <f>IF(AB20="","",VLOOKUP(AB20,'11. Lists'!$F$36:$H$38,3,FALSE))</f>
      </c>
      <c r="AE20" t="s" s="285">
        <f>IF(D20="","",((J20/1000)*V20*X20)*AD20)</f>
      </c>
      <c r="AF20" t="s" s="291">
        <f>IF(D20="","",((K20/1000)*V20*X20)*AD20)</f>
      </c>
      <c r="AG20" t="s" s="313">
        <f>IF(D20="","",M20)</f>
      </c>
      <c r="AH20" t="s" s="285">
        <f>IF(T20="","",VLOOKUP(T20,'11. Lists'!$B$47:$D$49,3,FALSE))</f>
      </c>
      <c r="AI20" t="s" s="313">
        <f>IF(D20="","",VLOOKUP(D20,'10. Condition and Temporal'!$B$6:$L$103,4,FALSE))</f>
      </c>
      <c r="AJ20" s="380"/>
      <c r="AK20" s="161"/>
      <c r="AL20" s="161"/>
      <c r="AM20" s="161"/>
      <c r="AN20" s="161"/>
      <c r="AO20" s="161"/>
      <c r="AP20" s="161"/>
      <c r="AQ20" s="161"/>
      <c r="AR20" s="161"/>
      <c r="AS20" s="161"/>
      <c r="AT20" s="161"/>
      <c r="AU20" s="161"/>
      <c r="AV20" s="161"/>
      <c r="AW20" s="161"/>
      <c r="AX20" s="161"/>
      <c r="AY20" s="161"/>
      <c r="AZ20" s="161"/>
      <c r="BA20" s="161"/>
      <c r="BB20" s="161"/>
      <c r="BC20" s="161"/>
      <c r="BD20" s="161"/>
      <c r="BE20" s="161"/>
      <c r="BF20" s="161"/>
      <c r="BG20" s="161"/>
      <c r="BH20" s="161"/>
      <c r="BI20" s="161"/>
      <c r="BJ20" s="161"/>
      <c r="BK20" s="161"/>
      <c r="BL20" s="161"/>
      <c r="BM20" s="161"/>
      <c r="BN20" s="161"/>
      <c r="BO20" s="161"/>
      <c r="BP20" s="161"/>
      <c r="BQ20" s="161"/>
      <c r="BR20" s="161"/>
      <c r="BS20" s="161"/>
      <c r="BT20" s="161"/>
      <c r="BU20" s="161"/>
      <c r="BV20" s="161"/>
      <c r="BW20" s="161"/>
      <c r="BX20" s="664"/>
    </row>
    <row r="21" ht="29.1" customHeight="1">
      <c r="A21" s="379"/>
      <c r="B21" s="296">
        <v>11</v>
      </c>
      <c r="C21" t="s" s="670">
        <v>299</v>
      </c>
      <c r="D21" s="314"/>
      <c r="E21" s="315"/>
      <c r="F21" s="310"/>
      <c r="G21" s="301"/>
      <c r="H21" s="299"/>
      <c r="I21" s="302"/>
      <c r="J21" s="303"/>
      <c r="K21" s="676"/>
      <c r="L21" t="s" s="418">
        <f>IF(D21="","",_xlfn.IFERROR(IF(I21="","",((I21/1000)*V21*X21)*AD21),"This intervention is not permitted within the SSM ▲"))</f>
      </c>
      <c r="M21" t="s" s="311">
        <f>IF(I21="","",IF(J21+K21&gt;I21,"Length Error ▲",I21-J21-K21))</f>
      </c>
      <c r="N21" t="s" s="677">
        <f>_xlfn.IFERROR(IF(I21="","",IF(M21="Length Error ▲","Length Error ▲",((M21/1000)*V21*X21)*AD21)),"This intervention is not permitted within the SSM ▲")</f>
      </c>
      <c r="O21" s="678"/>
      <c r="P21" s="307"/>
      <c r="Q21" s="380"/>
      <c r="R21" s="219"/>
      <c r="S21" s="381"/>
      <c r="T21" t="s" s="285">
        <f>IF(D21="","",VLOOKUP(D21,'9. All Habitats + Multipliers'!$C$4:$K$102,5,FALSE))</f>
      </c>
      <c r="U21" s="286"/>
      <c r="V21" t="s" s="313">
        <f>IF(T21="","",VLOOKUP(T21,'11. Lists'!$S$47:$U$50,2,FALSE))</f>
      </c>
      <c r="W21" t="s" s="285">
        <f>IF(D21="","",VLOOKUP(D21,'10. Condition and Temporal'!$B$6:$C$103,2,FALSE))</f>
      </c>
      <c r="X21" t="s" s="313">
        <f>IF(W21="","",VLOOKUP(W21,'11. Lists'!$F$47:$G$51,2,FALSE))</f>
      </c>
      <c r="Y21" s="288"/>
      <c r="Z21" s="289"/>
      <c r="AA21" s="289"/>
      <c r="AB21" t="s" s="675">
        <f>IF(F21="","",F21)</f>
      </c>
      <c r="AC21" t="s" s="291">
        <f>IF(AB21="","",VLOOKUP(AB21,'11. Lists'!$F$36:$H$38,2,FALSE))</f>
      </c>
      <c r="AD21" t="s" s="313">
        <f>IF(AB21="","",VLOOKUP(AB21,'11. Lists'!$F$36:$H$38,3,FALSE))</f>
      </c>
      <c r="AE21" t="s" s="285">
        <f>IF(D21="","",((J21/1000)*V21*X21)*AD21)</f>
      </c>
      <c r="AF21" t="s" s="291">
        <f>IF(D21="","",((K21/1000)*V21*X21)*AD21)</f>
      </c>
      <c r="AG21" t="s" s="313">
        <f>IF(D21="","",M21)</f>
      </c>
      <c r="AH21" t="s" s="285">
        <f>IF(T21="","",VLOOKUP(T21,'11. Lists'!$B$47:$D$49,3,FALSE))</f>
      </c>
      <c r="AI21" t="s" s="313">
        <f>IF(D21="","",VLOOKUP(D21,'10. Condition and Temporal'!$B$6:$L$103,4,FALSE))</f>
      </c>
      <c r="AJ21" s="380"/>
      <c r="AK21" s="161"/>
      <c r="AL21" s="161"/>
      <c r="AM21" s="161"/>
      <c r="AN21" s="161"/>
      <c r="AO21" s="161"/>
      <c r="AP21" s="161"/>
      <c r="AQ21" s="161"/>
      <c r="AR21" s="161"/>
      <c r="AS21" s="161"/>
      <c r="AT21" s="161"/>
      <c r="AU21" s="161"/>
      <c r="AV21" s="161"/>
      <c r="AW21" s="161"/>
      <c r="AX21" s="161"/>
      <c r="AY21" s="161"/>
      <c r="AZ21" s="161"/>
      <c r="BA21" s="161"/>
      <c r="BB21" s="161"/>
      <c r="BC21" s="161"/>
      <c r="BD21" s="161"/>
      <c r="BE21" s="161"/>
      <c r="BF21" s="161"/>
      <c r="BG21" s="161"/>
      <c r="BH21" s="161"/>
      <c r="BI21" s="161"/>
      <c r="BJ21" s="161"/>
      <c r="BK21" s="161"/>
      <c r="BL21" s="161"/>
      <c r="BM21" s="161"/>
      <c r="BN21" s="161"/>
      <c r="BO21" s="161"/>
      <c r="BP21" s="161"/>
      <c r="BQ21" s="161"/>
      <c r="BR21" s="161"/>
      <c r="BS21" s="161"/>
      <c r="BT21" s="161"/>
      <c r="BU21" s="161"/>
      <c r="BV21" s="161"/>
      <c r="BW21" s="161"/>
      <c r="BX21" s="664"/>
    </row>
    <row r="22" ht="29.1" customHeight="1">
      <c r="A22" s="379"/>
      <c r="B22" s="296">
        <v>12</v>
      </c>
      <c r="C22" t="s" s="670">
        <v>299</v>
      </c>
      <c r="D22" s="314"/>
      <c r="E22" s="315"/>
      <c r="F22" s="310"/>
      <c r="G22" s="301"/>
      <c r="H22" s="299"/>
      <c r="I22" s="302"/>
      <c r="J22" s="303"/>
      <c r="K22" s="676"/>
      <c r="L22" t="s" s="418">
        <f>IF(D22="","",_xlfn.IFERROR(IF(I22="","",((I22/1000)*V22*X22)*AD22),"This intervention is not permitted within the SSM ▲"))</f>
      </c>
      <c r="M22" t="s" s="311">
        <f>IF(I22="","",IF(J22+K22&gt;I22,"Length Error ▲",I22-J22-K22))</f>
      </c>
      <c r="N22" t="s" s="677">
        <f>_xlfn.IFERROR(IF(I22="","",IF(M22="Length Error ▲","Length Error ▲",((M22/1000)*V22*X22)*AD22)),"This intervention is not permitted within the SSM ▲")</f>
      </c>
      <c r="O22" s="678"/>
      <c r="P22" s="307"/>
      <c r="Q22" s="380"/>
      <c r="R22" s="219"/>
      <c r="S22" s="381"/>
      <c r="T22" t="s" s="285">
        <f>IF(D22="","",VLOOKUP(D22,'9. All Habitats + Multipliers'!$C$4:$K$102,5,FALSE))</f>
      </c>
      <c r="U22" s="286"/>
      <c r="V22" t="s" s="313">
        <f>IF(T22="","",VLOOKUP(T22,'11. Lists'!$S$47:$U$50,2,FALSE))</f>
      </c>
      <c r="W22" t="s" s="285">
        <f>IF(D22="","",VLOOKUP(D22,'10. Condition and Temporal'!$B$6:$C$103,2,FALSE))</f>
      </c>
      <c r="X22" t="s" s="313">
        <f>IF(W22="","",VLOOKUP(W22,'11. Lists'!$F$47:$G$51,2,FALSE))</f>
      </c>
      <c r="Y22" s="288"/>
      <c r="Z22" s="289"/>
      <c r="AA22" s="289"/>
      <c r="AB22" t="s" s="675">
        <f>IF(F22="","",F22)</f>
      </c>
      <c r="AC22" t="s" s="291">
        <f>IF(AB22="","",VLOOKUP(AB22,'11. Lists'!$F$36:$H$38,2,FALSE))</f>
      </c>
      <c r="AD22" t="s" s="313">
        <f>IF(AB22="","",VLOOKUP(AB22,'11. Lists'!$F$36:$H$38,3,FALSE))</f>
      </c>
      <c r="AE22" t="s" s="285">
        <f>IF(D22="","",((J22/1000)*V22*X22)*AD22)</f>
      </c>
      <c r="AF22" t="s" s="291">
        <f>IF(D22="","",((K22/1000)*V22*X22)*AD22)</f>
      </c>
      <c r="AG22" t="s" s="313">
        <f>IF(D22="","",M22)</f>
      </c>
      <c r="AH22" t="s" s="285">
        <f>IF(T22="","",VLOOKUP(T22,'11. Lists'!$B$47:$D$49,3,FALSE))</f>
      </c>
      <c r="AI22" t="s" s="313">
        <f>IF(D22="","",VLOOKUP(D22,'10. Condition and Temporal'!$B$6:$L$103,4,FALSE))</f>
      </c>
      <c r="AJ22" s="380"/>
      <c r="AK22" s="161"/>
      <c r="AL22" s="161"/>
      <c r="AM22" s="161"/>
      <c r="AN22" s="161"/>
      <c r="AO22" s="161"/>
      <c r="AP22" s="161"/>
      <c r="AQ22" s="161"/>
      <c r="AR22" s="161"/>
      <c r="AS22" s="161"/>
      <c r="AT22" s="161"/>
      <c r="AU22" s="161"/>
      <c r="AV22" s="161"/>
      <c r="AW22" s="161"/>
      <c r="AX22" s="161"/>
      <c r="AY22" s="161"/>
      <c r="AZ22" s="161"/>
      <c r="BA22" s="161"/>
      <c r="BB22" s="161"/>
      <c r="BC22" s="161"/>
      <c r="BD22" s="161"/>
      <c r="BE22" s="161"/>
      <c r="BF22" s="161"/>
      <c r="BG22" s="161"/>
      <c r="BH22" s="161"/>
      <c r="BI22" s="161"/>
      <c r="BJ22" s="161"/>
      <c r="BK22" s="161"/>
      <c r="BL22" s="161"/>
      <c r="BM22" s="161"/>
      <c r="BN22" s="161"/>
      <c r="BO22" s="161"/>
      <c r="BP22" s="161"/>
      <c r="BQ22" s="161"/>
      <c r="BR22" s="161"/>
      <c r="BS22" s="161"/>
      <c r="BT22" s="161"/>
      <c r="BU22" s="161"/>
      <c r="BV22" s="161"/>
      <c r="BW22" s="161"/>
      <c r="BX22" s="664"/>
    </row>
    <row r="23" ht="29.1" customHeight="1">
      <c r="A23" s="379"/>
      <c r="B23" s="296">
        <v>13</v>
      </c>
      <c r="C23" t="s" s="670">
        <v>299</v>
      </c>
      <c r="D23" s="314"/>
      <c r="E23" s="315"/>
      <c r="F23" s="310"/>
      <c r="G23" s="301"/>
      <c r="H23" s="299"/>
      <c r="I23" s="302"/>
      <c r="J23" s="303"/>
      <c r="K23" s="676"/>
      <c r="L23" t="s" s="418">
        <f>IF(D23="","",_xlfn.IFERROR(IF(I23="","",((I23/1000)*V23*X23)*AD23),"This intervention is not permitted within the SSM ▲"))</f>
      </c>
      <c r="M23" t="s" s="311">
        <f>IF(I23="","",IF(J23+K23&gt;I23,"Length Error ▲",I23-J23-K23))</f>
      </c>
      <c r="N23" t="s" s="677">
        <f>_xlfn.IFERROR(IF(I23="","",IF(M23="Length Error ▲","Length Error ▲",((M23/1000)*V23*X23)*AD23)),"This intervention is not permitted within the SSM ▲")</f>
      </c>
      <c r="O23" s="678"/>
      <c r="P23" s="307"/>
      <c r="Q23" s="380"/>
      <c r="R23" s="219"/>
      <c r="S23" s="381"/>
      <c r="T23" t="s" s="285">
        <f>IF(D23="","",VLOOKUP(D23,'9. All Habitats + Multipliers'!$C$4:$K$102,5,FALSE))</f>
      </c>
      <c r="U23" s="286"/>
      <c r="V23" t="s" s="313">
        <f>IF(T23="","",VLOOKUP(T23,'11. Lists'!$S$47:$U$50,2,FALSE))</f>
      </c>
      <c r="W23" t="s" s="285">
        <f>IF(D23="","",VLOOKUP(D23,'10. Condition and Temporal'!$B$6:$C$103,2,FALSE))</f>
      </c>
      <c r="X23" t="s" s="313">
        <f>IF(W23="","",VLOOKUP(W23,'11. Lists'!$F$47:$G$51,2,FALSE))</f>
      </c>
      <c r="Y23" s="288"/>
      <c r="Z23" s="289"/>
      <c r="AA23" s="289"/>
      <c r="AB23" t="s" s="675">
        <f>IF(F23="","",F23)</f>
      </c>
      <c r="AC23" t="s" s="291">
        <f>IF(AB23="","",VLOOKUP(AB23,'11. Lists'!$F$36:$H$38,2,FALSE))</f>
      </c>
      <c r="AD23" t="s" s="313">
        <f>IF(AB23="","",VLOOKUP(AB23,'11. Lists'!$F$36:$H$38,3,FALSE))</f>
      </c>
      <c r="AE23" t="s" s="285">
        <f>IF(D23="","",((J23/1000)*V23*X23)*AD23)</f>
      </c>
      <c r="AF23" t="s" s="291">
        <f>IF(D23="","",((K23/1000)*V23*X23)*AD23)</f>
      </c>
      <c r="AG23" t="s" s="313">
        <f>IF(D23="","",M23)</f>
      </c>
      <c r="AH23" t="s" s="285">
        <f>IF(T23="","",VLOOKUP(T23,'11. Lists'!$B$47:$D$49,3,FALSE))</f>
      </c>
      <c r="AI23" t="s" s="313">
        <f>IF(D23="","",VLOOKUP(D23,'10. Condition and Temporal'!$B$6:$L$103,4,FALSE))</f>
      </c>
      <c r="AJ23" s="380"/>
      <c r="AK23" s="161"/>
      <c r="AL23" s="161"/>
      <c r="AM23" s="161"/>
      <c r="AN23" s="161"/>
      <c r="AO23" s="161"/>
      <c r="AP23" s="161"/>
      <c r="AQ23" s="161"/>
      <c r="AR23" s="161"/>
      <c r="AS23" s="161"/>
      <c r="AT23" s="161"/>
      <c r="AU23" s="161"/>
      <c r="AV23" s="161"/>
      <c r="AW23" s="161"/>
      <c r="AX23" s="161"/>
      <c r="AY23" s="161"/>
      <c r="AZ23" s="161"/>
      <c r="BA23" s="161"/>
      <c r="BB23" s="161"/>
      <c r="BC23" s="161"/>
      <c r="BD23" s="161"/>
      <c r="BE23" s="161"/>
      <c r="BF23" s="161"/>
      <c r="BG23" s="161"/>
      <c r="BH23" s="161"/>
      <c r="BI23" s="161"/>
      <c r="BJ23" s="161"/>
      <c r="BK23" s="161"/>
      <c r="BL23" s="161"/>
      <c r="BM23" s="161"/>
      <c r="BN23" s="161"/>
      <c r="BO23" s="161"/>
      <c r="BP23" s="161"/>
      <c r="BQ23" s="161"/>
      <c r="BR23" s="161"/>
      <c r="BS23" s="161"/>
      <c r="BT23" s="161"/>
      <c r="BU23" s="161"/>
      <c r="BV23" s="161"/>
      <c r="BW23" s="161"/>
      <c r="BX23" s="664"/>
    </row>
    <row r="24" ht="29.1" customHeight="1">
      <c r="A24" s="379"/>
      <c r="B24" s="296">
        <v>14</v>
      </c>
      <c r="C24" t="s" s="670">
        <v>299</v>
      </c>
      <c r="D24" s="314"/>
      <c r="E24" s="315"/>
      <c r="F24" s="310"/>
      <c r="G24" s="301"/>
      <c r="H24" s="299"/>
      <c r="I24" s="302"/>
      <c r="J24" s="303"/>
      <c r="K24" s="676"/>
      <c r="L24" t="s" s="418">
        <f>IF(D24="","",_xlfn.IFERROR(IF(I24="","",((I24/1000)*V24*X24)*AD24),"This intervention is not permitted within the SSM ▲"))</f>
      </c>
      <c r="M24" t="s" s="311">
        <f>IF(I24="","",IF(J24+K24&gt;I24,"Length Error ▲",I24-J24-K24))</f>
      </c>
      <c r="N24" t="s" s="677">
        <f>_xlfn.IFERROR(IF(I24="","",IF(M24="Length Error ▲","Length Error ▲",((M24/1000)*V24*X24)*AD24)),"This intervention is not permitted within the SSM ▲")</f>
      </c>
      <c r="O24" s="678"/>
      <c r="P24" s="307"/>
      <c r="Q24" s="380"/>
      <c r="R24" s="219"/>
      <c r="S24" s="381"/>
      <c r="T24" t="s" s="285">
        <f>IF(D24="","",VLOOKUP(D24,'9. All Habitats + Multipliers'!$C$4:$K$102,5,FALSE))</f>
      </c>
      <c r="U24" s="286"/>
      <c r="V24" t="s" s="313">
        <f>IF(T24="","",VLOOKUP(T24,'11. Lists'!$S$47:$U$50,2,FALSE))</f>
      </c>
      <c r="W24" t="s" s="285">
        <f>IF(D24="","",VLOOKUP(D24,'10. Condition and Temporal'!$B$6:$C$103,2,FALSE))</f>
      </c>
      <c r="X24" t="s" s="313">
        <f>IF(W24="","",VLOOKUP(W24,'11. Lists'!$F$47:$G$51,2,FALSE))</f>
      </c>
      <c r="Y24" s="288"/>
      <c r="Z24" s="289"/>
      <c r="AA24" s="289"/>
      <c r="AB24" t="s" s="675">
        <f>IF(F24="","",F24)</f>
      </c>
      <c r="AC24" t="s" s="291">
        <f>IF(AB24="","",VLOOKUP(AB24,'11. Lists'!$F$36:$H$38,2,FALSE))</f>
      </c>
      <c r="AD24" t="s" s="313">
        <f>IF(AB24="","",VLOOKUP(AB24,'11. Lists'!$F$36:$H$38,3,FALSE))</f>
      </c>
      <c r="AE24" t="s" s="285">
        <f>IF(D24="","",((J24/1000)*V24*X24)*AD24)</f>
      </c>
      <c r="AF24" t="s" s="291">
        <f>IF(D24="","",((K24/1000)*V24*X24)*AD24)</f>
      </c>
      <c r="AG24" t="s" s="313">
        <f>IF(D24="","",M24)</f>
      </c>
      <c r="AH24" t="s" s="285">
        <f>IF(T24="","",VLOOKUP(T24,'11. Lists'!$B$47:$D$49,3,FALSE))</f>
      </c>
      <c r="AI24" t="s" s="313">
        <f>IF(D24="","",VLOOKUP(D24,'10. Condition and Temporal'!$B$6:$L$103,4,FALSE))</f>
      </c>
      <c r="AJ24" s="380"/>
      <c r="AK24" s="161"/>
      <c r="AL24" s="161"/>
      <c r="AM24" s="161"/>
      <c r="AN24" s="161"/>
      <c r="AO24" s="161"/>
      <c r="AP24" s="161"/>
      <c r="AQ24" s="161"/>
      <c r="AR24" s="161"/>
      <c r="AS24" s="161"/>
      <c r="AT24" s="161"/>
      <c r="AU24" s="161"/>
      <c r="AV24" s="161"/>
      <c r="AW24" s="161"/>
      <c r="AX24" s="161"/>
      <c r="AY24" s="161"/>
      <c r="AZ24" s="161"/>
      <c r="BA24" s="161"/>
      <c r="BB24" s="161"/>
      <c r="BC24" s="161"/>
      <c r="BD24" s="161"/>
      <c r="BE24" s="161"/>
      <c r="BF24" s="161"/>
      <c r="BG24" s="161"/>
      <c r="BH24" s="161"/>
      <c r="BI24" s="161"/>
      <c r="BJ24" s="161"/>
      <c r="BK24" s="161"/>
      <c r="BL24" s="161"/>
      <c r="BM24" s="161"/>
      <c r="BN24" s="161"/>
      <c r="BO24" s="161"/>
      <c r="BP24" s="161"/>
      <c r="BQ24" s="161"/>
      <c r="BR24" s="161"/>
      <c r="BS24" s="161"/>
      <c r="BT24" s="161"/>
      <c r="BU24" s="161"/>
      <c r="BV24" s="161"/>
      <c r="BW24" s="161"/>
      <c r="BX24" s="664"/>
    </row>
    <row r="25" ht="29.1" customHeight="1">
      <c r="A25" s="379"/>
      <c r="B25" s="296">
        <v>15</v>
      </c>
      <c r="C25" t="s" s="670">
        <v>299</v>
      </c>
      <c r="D25" s="314"/>
      <c r="E25" s="315"/>
      <c r="F25" s="310"/>
      <c r="G25" s="301"/>
      <c r="H25" s="299"/>
      <c r="I25" s="302"/>
      <c r="J25" s="303"/>
      <c r="K25" s="676"/>
      <c r="L25" t="s" s="418">
        <f>IF(D25="","",_xlfn.IFERROR(IF(I25="","",((I25/1000)*V25*X25)*AD25),"This intervention is not permitted within the SSM ▲"))</f>
      </c>
      <c r="M25" t="s" s="311">
        <f>IF(I25="","",IF(J25+K25&gt;I25,"Length Error ▲",I25-J25-K25))</f>
      </c>
      <c r="N25" t="s" s="677">
        <f>_xlfn.IFERROR(IF(I25="","",IF(M25="Length Error ▲","Length Error ▲",((M25/1000)*V25*X25)*AD25)),"This intervention is not permitted within the SSM ▲")</f>
      </c>
      <c r="O25" s="678"/>
      <c r="P25" s="307"/>
      <c r="Q25" s="380"/>
      <c r="R25" s="219"/>
      <c r="S25" s="381"/>
      <c r="T25" t="s" s="285">
        <f>IF(D25="","",VLOOKUP(D25,'9. All Habitats + Multipliers'!$C$4:$K$102,5,FALSE))</f>
      </c>
      <c r="U25" s="286"/>
      <c r="V25" t="s" s="313">
        <f>IF(T25="","",VLOOKUP(T25,'11. Lists'!$S$47:$U$50,2,FALSE))</f>
      </c>
      <c r="W25" t="s" s="285">
        <f>IF(D25="","",VLOOKUP(D25,'10. Condition and Temporal'!$B$6:$C$103,2,FALSE))</f>
      </c>
      <c r="X25" t="s" s="313">
        <f>IF(W25="","",VLOOKUP(W25,'11. Lists'!$F$47:$G$51,2,FALSE))</f>
      </c>
      <c r="Y25" s="288"/>
      <c r="Z25" s="289"/>
      <c r="AA25" s="289"/>
      <c r="AB25" t="s" s="675">
        <f>IF(F25="","",F25)</f>
      </c>
      <c r="AC25" t="s" s="291">
        <f>IF(AB25="","",VLOOKUP(AB25,'11. Lists'!$F$36:$H$38,2,FALSE))</f>
      </c>
      <c r="AD25" t="s" s="313">
        <f>IF(AB25="","",VLOOKUP(AB25,'11. Lists'!$F$36:$H$38,3,FALSE))</f>
      </c>
      <c r="AE25" t="s" s="285">
        <f>IF(D25="","",((J25/1000)*V25*X25)*AD25)</f>
      </c>
      <c r="AF25" t="s" s="291">
        <f>IF(D25="","",((K25/1000)*V25*X25)*AD25)</f>
      </c>
      <c r="AG25" t="s" s="313">
        <f>IF(D25="","",M25)</f>
      </c>
      <c r="AH25" t="s" s="285">
        <f>IF(T25="","",VLOOKUP(T25,'11. Lists'!$B$47:$D$49,3,FALSE))</f>
      </c>
      <c r="AI25" t="s" s="313">
        <f>IF(D25="","",VLOOKUP(D25,'10. Condition and Temporal'!$B$6:$L$103,4,FALSE))</f>
      </c>
      <c r="AJ25" s="380"/>
      <c r="AK25" s="161"/>
      <c r="AL25" s="161"/>
      <c r="AM25" s="161"/>
      <c r="AN25" s="161"/>
      <c r="AO25" s="161"/>
      <c r="AP25" s="161"/>
      <c r="AQ25" s="161"/>
      <c r="AR25" s="161"/>
      <c r="AS25" s="161"/>
      <c r="AT25" s="161"/>
      <c r="AU25" s="161"/>
      <c r="AV25" s="161"/>
      <c r="AW25" s="161"/>
      <c r="AX25" s="161"/>
      <c r="AY25" s="161"/>
      <c r="AZ25" s="161"/>
      <c r="BA25" s="161"/>
      <c r="BB25" s="161"/>
      <c r="BC25" s="161"/>
      <c r="BD25" s="161"/>
      <c r="BE25" s="161"/>
      <c r="BF25" s="161"/>
      <c r="BG25" s="161"/>
      <c r="BH25" s="161"/>
      <c r="BI25" s="161"/>
      <c r="BJ25" s="161"/>
      <c r="BK25" s="161"/>
      <c r="BL25" s="161"/>
      <c r="BM25" s="161"/>
      <c r="BN25" s="161"/>
      <c r="BO25" s="161"/>
      <c r="BP25" s="161"/>
      <c r="BQ25" s="161"/>
      <c r="BR25" s="161"/>
      <c r="BS25" s="161"/>
      <c r="BT25" s="161"/>
      <c r="BU25" s="161"/>
      <c r="BV25" s="161"/>
      <c r="BW25" s="161"/>
      <c r="BX25" s="664"/>
    </row>
    <row r="26" ht="29.1" customHeight="1">
      <c r="A26" s="379"/>
      <c r="B26" s="296">
        <v>16</v>
      </c>
      <c r="C26" t="s" s="670">
        <v>299</v>
      </c>
      <c r="D26" s="314"/>
      <c r="E26" s="315"/>
      <c r="F26" s="310"/>
      <c r="G26" s="301"/>
      <c r="H26" s="299"/>
      <c r="I26" s="302"/>
      <c r="J26" s="303"/>
      <c r="K26" s="676"/>
      <c r="L26" t="s" s="418">
        <f>IF(D26="","",_xlfn.IFERROR(IF(I26="","",((I26/1000)*V26*X26)*AD26),"This intervention is not permitted within the SSM ▲"))</f>
      </c>
      <c r="M26" t="s" s="311">
        <f>IF(I26="","",IF(J26+K26&gt;I26,"Length Error ▲",I26-J26-K26))</f>
      </c>
      <c r="N26" t="s" s="677">
        <f>_xlfn.IFERROR(IF(I26="","",IF(M26="Length Error ▲","Length Error ▲",((M26/1000)*V26*X26)*AD26)),"This intervention is not permitted within the SSM ▲")</f>
      </c>
      <c r="O26" s="678"/>
      <c r="P26" s="307"/>
      <c r="Q26" s="380"/>
      <c r="R26" s="219"/>
      <c r="S26" s="381"/>
      <c r="T26" t="s" s="285">
        <f>IF(D26="","",VLOOKUP(D26,'9. All Habitats + Multipliers'!$C$4:$K$102,5,FALSE))</f>
      </c>
      <c r="U26" s="286"/>
      <c r="V26" t="s" s="313">
        <f>IF(T26="","",VLOOKUP(T26,'11. Lists'!$S$47:$U$50,2,FALSE))</f>
      </c>
      <c r="W26" t="s" s="285">
        <f>IF(D26="","",VLOOKUP(D26,'10. Condition and Temporal'!$B$6:$C$103,2,FALSE))</f>
      </c>
      <c r="X26" t="s" s="313">
        <f>IF(W26="","",VLOOKUP(W26,'11. Lists'!$F$47:$G$51,2,FALSE))</f>
      </c>
      <c r="Y26" s="288"/>
      <c r="Z26" s="289"/>
      <c r="AA26" s="289"/>
      <c r="AB26" t="s" s="675">
        <f>IF(F26="","",F26)</f>
      </c>
      <c r="AC26" t="s" s="291">
        <f>IF(AB26="","",VLOOKUP(AB26,'11. Lists'!$F$36:$H$38,2,FALSE))</f>
      </c>
      <c r="AD26" t="s" s="313">
        <f>IF(AB26="","",VLOOKUP(AB26,'11. Lists'!$F$36:$H$38,3,FALSE))</f>
      </c>
      <c r="AE26" t="s" s="285">
        <f>IF(D26="","",((J26/1000)*V26*X26)*AD26)</f>
      </c>
      <c r="AF26" t="s" s="291">
        <f>IF(D26="","",((K26/1000)*V26*X26)*AD26)</f>
      </c>
      <c r="AG26" t="s" s="313">
        <f>IF(D26="","",M26)</f>
      </c>
      <c r="AH26" t="s" s="285">
        <f>IF(T26="","",VLOOKUP(T26,'11. Lists'!$B$47:$D$49,3,FALSE))</f>
      </c>
      <c r="AI26" t="s" s="313">
        <f>IF(D26="","",VLOOKUP(D26,'10. Condition and Temporal'!$B$6:$L$103,4,FALSE))</f>
      </c>
      <c r="AJ26" s="380"/>
      <c r="AK26" s="161"/>
      <c r="AL26" s="161"/>
      <c r="AM26" s="161"/>
      <c r="AN26" s="161"/>
      <c r="AO26" s="161"/>
      <c r="AP26" s="161"/>
      <c r="AQ26" s="161"/>
      <c r="AR26" s="161"/>
      <c r="AS26" s="161"/>
      <c r="AT26" s="161"/>
      <c r="AU26" s="161"/>
      <c r="AV26" s="161"/>
      <c r="AW26" s="161"/>
      <c r="AX26" s="161"/>
      <c r="AY26" s="161"/>
      <c r="AZ26" s="161"/>
      <c r="BA26" s="161"/>
      <c r="BB26" s="161"/>
      <c r="BC26" s="161"/>
      <c r="BD26" s="161"/>
      <c r="BE26" s="161"/>
      <c r="BF26" s="161"/>
      <c r="BG26" s="161"/>
      <c r="BH26" s="161"/>
      <c r="BI26" s="161"/>
      <c r="BJ26" s="161"/>
      <c r="BK26" s="161"/>
      <c r="BL26" s="161"/>
      <c r="BM26" s="161"/>
      <c r="BN26" s="161"/>
      <c r="BO26" s="161"/>
      <c r="BP26" s="161"/>
      <c r="BQ26" s="161"/>
      <c r="BR26" s="161"/>
      <c r="BS26" s="161"/>
      <c r="BT26" s="161"/>
      <c r="BU26" s="161"/>
      <c r="BV26" s="161"/>
      <c r="BW26" s="161"/>
      <c r="BX26" s="664"/>
    </row>
    <row r="27" ht="29.1" customHeight="1">
      <c r="A27" s="379"/>
      <c r="B27" s="296">
        <v>17</v>
      </c>
      <c r="C27" t="s" s="670">
        <v>299</v>
      </c>
      <c r="D27" s="314"/>
      <c r="E27" s="315"/>
      <c r="F27" s="310"/>
      <c r="G27" s="301"/>
      <c r="H27" s="299"/>
      <c r="I27" s="302"/>
      <c r="J27" s="303"/>
      <c r="K27" s="676"/>
      <c r="L27" t="s" s="418">
        <f>IF(D27="","",_xlfn.IFERROR(IF(I27="","",((I27/1000)*V27*X27)*AD27),"This intervention is not permitted within the SSM ▲"))</f>
      </c>
      <c r="M27" t="s" s="311">
        <f>IF(I27="","",IF(J27+K27&gt;I27,"Length Error ▲",I27-J27-K27))</f>
      </c>
      <c r="N27" t="s" s="677">
        <f>_xlfn.IFERROR(IF(I27="","",IF(M27="Length Error ▲","Length Error ▲",((M27/1000)*V27*X27)*AD27)),"This intervention is not permitted within the SSM ▲")</f>
      </c>
      <c r="O27" s="678"/>
      <c r="P27" s="307"/>
      <c r="Q27" s="380"/>
      <c r="R27" s="219"/>
      <c r="S27" s="381"/>
      <c r="T27" t="s" s="285">
        <f>IF(D27="","",VLOOKUP(D27,'9. All Habitats + Multipliers'!$C$4:$K$102,5,FALSE))</f>
      </c>
      <c r="U27" s="286"/>
      <c r="V27" t="s" s="313">
        <f>IF(T27="","",VLOOKUP(T27,'11. Lists'!$S$47:$U$50,2,FALSE))</f>
      </c>
      <c r="W27" t="s" s="285">
        <f>IF(D27="","",VLOOKUP(D27,'10. Condition and Temporal'!$B$6:$C$103,2,FALSE))</f>
      </c>
      <c r="X27" t="s" s="313">
        <f>IF(W27="","",VLOOKUP(W27,'11. Lists'!$F$47:$G$51,2,FALSE))</f>
      </c>
      <c r="Y27" s="288"/>
      <c r="Z27" s="289"/>
      <c r="AA27" s="289"/>
      <c r="AB27" t="s" s="675">
        <f>IF(F27="","",F27)</f>
      </c>
      <c r="AC27" t="s" s="291">
        <f>IF(AB27="","",VLOOKUP(AB27,'11. Lists'!$F$36:$H$38,2,FALSE))</f>
      </c>
      <c r="AD27" t="s" s="313">
        <f>IF(AB27="","",VLOOKUP(AB27,'11. Lists'!$F$36:$H$38,3,FALSE))</f>
      </c>
      <c r="AE27" t="s" s="285">
        <f>IF(D27="","",((J27/1000)*V27*X27)*AD27)</f>
      </c>
      <c r="AF27" t="s" s="291">
        <f>IF(D27="","",((K27/1000)*V27*X27)*AD27)</f>
      </c>
      <c r="AG27" t="s" s="313">
        <f>IF(D27="","",M27)</f>
      </c>
      <c r="AH27" t="s" s="285">
        <f>IF(T27="","",VLOOKUP(T27,'11. Lists'!$B$47:$D$49,3,FALSE))</f>
      </c>
      <c r="AI27" t="s" s="313">
        <f>IF(D27="","",VLOOKUP(D27,'10. Condition and Temporal'!$B$6:$L$103,4,FALSE))</f>
      </c>
      <c r="AJ27" s="380"/>
      <c r="AK27" s="161"/>
      <c r="AL27" s="161"/>
      <c r="AM27" s="161"/>
      <c r="AN27" s="161"/>
      <c r="AO27" s="161"/>
      <c r="AP27" s="161"/>
      <c r="AQ27" s="161"/>
      <c r="AR27" s="161"/>
      <c r="AS27" s="161"/>
      <c r="AT27" s="161"/>
      <c r="AU27" s="161"/>
      <c r="AV27" s="161"/>
      <c r="AW27" s="161"/>
      <c r="AX27" s="161"/>
      <c r="AY27" s="161"/>
      <c r="AZ27" s="161"/>
      <c r="BA27" s="161"/>
      <c r="BB27" s="161"/>
      <c r="BC27" s="161"/>
      <c r="BD27" s="161"/>
      <c r="BE27" s="161"/>
      <c r="BF27" s="161"/>
      <c r="BG27" s="161"/>
      <c r="BH27" s="161"/>
      <c r="BI27" s="161"/>
      <c r="BJ27" s="161"/>
      <c r="BK27" s="161"/>
      <c r="BL27" s="161"/>
      <c r="BM27" s="161"/>
      <c r="BN27" s="161"/>
      <c r="BO27" s="161"/>
      <c r="BP27" s="161"/>
      <c r="BQ27" s="161"/>
      <c r="BR27" s="161"/>
      <c r="BS27" s="161"/>
      <c r="BT27" s="161"/>
      <c r="BU27" s="161"/>
      <c r="BV27" s="161"/>
      <c r="BW27" s="161"/>
      <c r="BX27" s="664"/>
    </row>
    <row r="28" ht="29.1" customHeight="1">
      <c r="A28" s="379"/>
      <c r="B28" s="296">
        <v>18</v>
      </c>
      <c r="C28" t="s" s="670">
        <v>299</v>
      </c>
      <c r="D28" s="314"/>
      <c r="E28" s="315"/>
      <c r="F28" s="310"/>
      <c r="G28" s="301"/>
      <c r="H28" s="299"/>
      <c r="I28" s="302"/>
      <c r="J28" s="303"/>
      <c r="K28" s="676"/>
      <c r="L28" t="s" s="418">
        <f>IF(D28="","",_xlfn.IFERROR(IF(I28="","",((I28/1000)*V28*X28)*AD28),"This intervention is not permitted within the SSM ▲"))</f>
      </c>
      <c r="M28" t="s" s="311">
        <f>IF(I28="","",IF(J28+K28&gt;I28,"Length Error ▲",I28-J28-K28))</f>
      </c>
      <c r="N28" t="s" s="677">
        <f>_xlfn.IFERROR(IF(I28="","",IF(M28="Length Error ▲","Length Error ▲",((M28/1000)*V28*X28)*AD28)),"This intervention is not permitted within the SSM ▲")</f>
      </c>
      <c r="O28" s="678"/>
      <c r="P28" s="307"/>
      <c r="Q28" s="380"/>
      <c r="R28" s="219"/>
      <c r="S28" s="381"/>
      <c r="T28" t="s" s="285">
        <f>IF(D28="","",VLOOKUP(D28,'9. All Habitats + Multipliers'!$C$4:$K$102,5,FALSE))</f>
      </c>
      <c r="U28" s="286"/>
      <c r="V28" t="s" s="313">
        <f>IF(T28="","",VLOOKUP(T28,'11. Lists'!$S$47:$U$50,2,FALSE))</f>
      </c>
      <c r="W28" t="s" s="285">
        <f>IF(D28="","",VLOOKUP(D28,'10. Condition and Temporal'!$B$6:$C$103,2,FALSE))</f>
      </c>
      <c r="X28" t="s" s="313">
        <f>IF(W28="","",VLOOKUP(W28,'11. Lists'!$F$47:$G$51,2,FALSE))</f>
      </c>
      <c r="Y28" s="288"/>
      <c r="Z28" s="289"/>
      <c r="AA28" s="289"/>
      <c r="AB28" t="s" s="675">
        <f>IF(F28="","",F28)</f>
      </c>
      <c r="AC28" t="s" s="291">
        <f>IF(AB28="","",VLOOKUP(AB28,'11. Lists'!$F$36:$H$38,2,FALSE))</f>
      </c>
      <c r="AD28" t="s" s="313">
        <f>IF(AB28="","",VLOOKUP(AB28,'11. Lists'!$F$36:$H$38,3,FALSE))</f>
      </c>
      <c r="AE28" t="s" s="285">
        <f>IF(D28="","",((J28/1000)*V28*X28)*AD28)</f>
      </c>
      <c r="AF28" t="s" s="291">
        <f>IF(D28="","",((K28/1000)*V28*X28)*AD28)</f>
      </c>
      <c r="AG28" t="s" s="313">
        <f>IF(D28="","",M28)</f>
      </c>
      <c r="AH28" t="s" s="285">
        <f>IF(T28="","",VLOOKUP(T28,'11. Lists'!$B$47:$D$49,3,FALSE))</f>
      </c>
      <c r="AI28" t="s" s="313">
        <f>IF(D28="","",VLOOKUP(D28,'10. Condition and Temporal'!$B$6:$L$103,4,FALSE))</f>
      </c>
      <c r="AJ28" s="380"/>
      <c r="AK28" s="161"/>
      <c r="AL28" s="161"/>
      <c r="AM28" s="161"/>
      <c r="AN28" s="161"/>
      <c r="AO28" s="161"/>
      <c r="AP28" s="161"/>
      <c r="AQ28" s="161"/>
      <c r="AR28" s="161"/>
      <c r="AS28" s="161"/>
      <c r="AT28" s="161"/>
      <c r="AU28" s="161"/>
      <c r="AV28" s="161"/>
      <c r="AW28" s="161"/>
      <c r="AX28" s="161"/>
      <c r="AY28" s="161"/>
      <c r="AZ28" s="161"/>
      <c r="BA28" s="161"/>
      <c r="BB28" s="161"/>
      <c r="BC28" s="161"/>
      <c r="BD28" s="161"/>
      <c r="BE28" s="161"/>
      <c r="BF28" s="161"/>
      <c r="BG28" s="161"/>
      <c r="BH28" s="161"/>
      <c r="BI28" s="161"/>
      <c r="BJ28" s="161"/>
      <c r="BK28" s="161"/>
      <c r="BL28" s="161"/>
      <c r="BM28" s="161"/>
      <c r="BN28" s="161"/>
      <c r="BO28" s="161"/>
      <c r="BP28" s="161"/>
      <c r="BQ28" s="161"/>
      <c r="BR28" s="161"/>
      <c r="BS28" s="161"/>
      <c r="BT28" s="161"/>
      <c r="BU28" s="161"/>
      <c r="BV28" s="161"/>
      <c r="BW28" s="161"/>
      <c r="BX28" s="664"/>
    </row>
    <row r="29" ht="29.1" customHeight="1">
      <c r="A29" s="379"/>
      <c r="B29" s="296">
        <v>19</v>
      </c>
      <c r="C29" t="s" s="670">
        <v>299</v>
      </c>
      <c r="D29" s="314"/>
      <c r="E29" s="315"/>
      <c r="F29" s="310"/>
      <c r="G29" s="301"/>
      <c r="H29" s="299"/>
      <c r="I29" s="302"/>
      <c r="J29" s="303"/>
      <c r="K29" s="676"/>
      <c r="L29" t="s" s="418">
        <f>IF(D29="","",_xlfn.IFERROR(IF(I29="","",((I29/1000)*V29*X29)*AD29),"This intervention is not permitted within the SSM ▲"))</f>
      </c>
      <c r="M29" t="s" s="311">
        <f>IF(I29="","",IF(J29+K29&gt;I29,"Length Error ▲",I29-J29-K29))</f>
      </c>
      <c r="N29" t="s" s="677">
        <f>_xlfn.IFERROR(IF(I29="","",IF(M29="Length Error ▲","Length Error ▲",((M29/1000)*V29*X29)*AD29)),"This intervention is not permitted within the SSM ▲")</f>
      </c>
      <c r="O29" s="678"/>
      <c r="P29" s="307"/>
      <c r="Q29" s="380"/>
      <c r="R29" s="219"/>
      <c r="S29" s="381"/>
      <c r="T29" t="s" s="285">
        <f>IF(D29="","",VLOOKUP(D29,'9. All Habitats + Multipliers'!$C$4:$K$102,5,FALSE))</f>
      </c>
      <c r="U29" s="286"/>
      <c r="V29" t="s" s="313">
        <f>IF(T29="","",VLOOKUP(T29,'11. Lists'!$S$47:$U$50,2,FALSE))</f>
      </c>
      <c r="W29" t="s" s="285">
        <f>IF(D29="","",VLOOKUP(D29,'10. Condition and Temporal'!$B$6:$C$103,2,FALSE))</f>
      </c>
      <c r="X29" t="s" s="313">
        <f>IF(W29="","",VLOOKUP(W29,'11. Lists'!$F$47:$G$51,2,FALSE))</f>
      </c>
      <c r="Y29" s="288"/>
      <c r="Z29" s="289"/>
      <c r="AA29" s="289"/>
      <c r="AB29" t="s" s="675">
        <f>IF(F29="","",F29)</f>
      </c>
      <c r="AC29" t="s" s="291">
        <f>IF(AB29="","",VLOOKUP(AB29,'11. Lists'!$F$36:$H$38,2,FALSE))</f>
      </c>
      <c r="AD29" t="s" s="313">
        <f>IF(AB29="","",VLOOKUP(AB29,'11. Lists'!$F$36:$H$38,3,FALSE))</f>
      </c>
      <c r="AE29" t="s" s="285">
        <f>IF(D29="","",((J29/1000)*V29*X29)*AD29)</f>
      </c>
      <c r="AF29" t="s" s="291">
        <f>IF(D29="","",((K29/1000)*V29*X29)*AD29)</f>
      </c>
      <c r="AG29" t="s" s="313">
        <f>IF(D29="","",M29)</f>
      </c>
      <c r="AH29" t="s" s="285">
        <f>IF(T29="","",VLOOKUP(T29,'11. Lists'!$B$47:$D$49,3,FALSE))</f>
      </c>
      <c r="AI29" t="s" s="313">
        <f>IF(D29="","",VLOOKUP(D29,'10. Condition and Temporal'!$B$6:$L$103,4,FALSE))</f>
      </c>
      <c r="AJ29" s="380"/>
      <c r="AK29" s="161"/>
      <c r="AL29" s="161"/>
      <c r="AM29" s="161"/>
      <c r="AN29" s="161"/>
      <c r="AO29" s="161"/>
      <c r="AP29" s="161"/>
      <c r="AQ29" s="161"/>
      <c r="AR29" s="161"/>
      <c r="AS29" s="161"/>
      <c r="AT29" s="161"/>
      <c r="AU29" s="161"/>
      <c r="AV29" s="161"/>
      <c r="AW29" s="161"/>
      <c r="AX29" s="161"/>
      <c r="AY29" s="161"/>
      <c r="AZ29" s="161"/>
      <c r="BA29" s="161"/>
      <c r="BB29" s="161"/>
      <c r="BC29" s="161"/>
      <c r="BD29" s="161"/>
      <c r="BE29" s="161"/>
      <c r="BF29" s="161"/>
      <c r="BG29" s="161"/>
      <c r="BH29" s="161"/>
      <c r="BI29" s="161"/>
      <c r="BJ29" s="161"/>
      <c r="BK29" s="161"/>
      <c r="BL29" s="161"/>
      <c r="BM29" s="161"/>
      <c r="BN29" s="161"/>
      <c r="BO29" s="161"/>
      <c r="BP29" s="161"/>
      <c r="BQ29" s="161"/>
      <c r="BR29" s="161"/>
      <c r="BS29" s="161"/>
      <c r="BT29" s="161"/>
      <c r="BU29" s="161"/>
      <c r="BV29" s="161"/>
      <c r="BW29" s="161"/>
      <c r="BX29" s="664"/>
    </row>
    <row r="30" ht="29.45" customHeight="1">
      <c r="A30" s="379"/>
      <c r="B30" s="419">
        <v>20</v>
      </c>
      <c r="C30" t="s" s="680">
        <v>299</v>
      </c>
      <c r="D30" s="526"/>
      <c r="E30" s="338"/>
      <c r="F30" s="319"/>
      <c r="G30" s="320"/>
      <c r="H30" s="318"/>
      <c r="I30" s="321"/>
      <c r="J30" s="322"/>
      <c r="K30" s="681"/>
      <c r="L30" t="s" s="427">
        <f>IF(D30="","",_xlfn.IFERROR(IF(I30="","",((I30/1000)*V30*X30)*AD30),"This intervention is not permitted within the SSM ▲"))</f>
      </c>
      <c r="M30" t="s" s="323">
        <f>IF(I30="","",IF(J30+K30&gt;I30,"Length Error ▲",I30-J30-K30))</f>
      </c>
      <c r="N30" t="s" s="682">
        <f>_xlfn.IFERROR(IF(I30="","",IF(M30="Length Error ▲","Length Error ▲",((M30/1000)*V30*X30)*AD30)),"This intervention is not permitted within the SSM ▲")</f>
      </c>
      <c r="O30" s="683"/>
      <c r="P30" s="684"/>
      <c r="Q30" s="380"/>
      <c r="R30" s="219"/>
      <c r="S30" s="381"/>
      <c r="T30" t="s" s="285">
        <f>IF(D30="","",VLOOKUP(D30,'9. All Habitats + Multipliers'!$C$4:$K$102,5,FALSE))</f>
      </c>
      <c r="U30" s="286"/>
      <c r="V30" t="s" s="313">
        <f>IF(T30="","",VLOOKUP(T30,'11. Lists'!$S$47:$U$50,2,FALSE))</f>
      </c>
      <c r="W30" t="s" s="339">
        <f>IF(D30="","",VLOOKUP(D30,'10. Condition and Temporal'!$B$6:$C$103,2,FALSE))</f>
      </c>
      <c r="X30" t="s" s="531">
        <f>IF(W30="","",VLOOKUP(W30,'11. Lists'!$F$47:$G$51,2,FALSE))</f>
      </c>
      <c r="Y30" s="288"/>
      <c r="Z30" s="289"/>
      <c r="AA30" s="289"/>
      <c r="AB30" t="s" s="675">
        <f>IF(F30="","",F30)</f>
      </c>
      <c r="AC30" t="s" s="291">
        <f>IF(AB30="","",VLOOKUP(AB30,'11. Lists'!$F$36:$H$38,2,FALSE))</f>
      </c>
      <c r="AD30" t="s" s="313">
        <f>IF(AB30="","",VLOOKUP(AB30,'11. Lists'!$F$36:$H$38,3,FALSE))</f>
      </c>
      <c r="AE30" t="s" s="285">
        <f>IF(D30="","",((J30/1000)*V30*X30)*AD30)</f>
      </c>
      <c r="AF30" t="s" s="291">
        <f>IF(D30="","",((K30/1000)*V30*X30)*AD30)</f>
      </c>
      <c r="AG30" t="s" s="313">
        <f>IF(D30="","",M30)</f>
      </c>
      <c r="AH30" t="s" s="285">
        <f>IF(T30="","",VLOOKUP(T30,'11. Lists'!$B$47:$D$49,3,FALSE))</f>
      </c>
      <c r="AI30" t="s" s="313">
        <f>IF(D30="","",VLOOKUP(D30,'10. Condition and Temporal'!$B$6:$L$103,4,FALSE))</f>
      </c>
      <c r="AJ30" s="380"/>
      <c r="AK30" s="161"/>
      <c r="AL30" s="161"/>
      <c r="AM30" s="161"/>
      <c r="AN30" s="161"/>
      <c r="AO30" s="161"/>
      <c r="AP30" s="161"/>
      <c r="AQ30" s="161"/>
      <c r="AR30" s="161"/>
      <c r="AS30" s="161"/>
      <c r="AT30" s="161"/>
      <c r="AU30" s="161"/>
      <c r="AV30" s="161"/>
      <c r="AW30" s="161"/>
      <c r="AX30" s="161"/>
      <c r="AY30" s="161"/>
      <c r="AZ30" s="161"/>
      <c r="BA30" s="161"/>
      <c r="BB30" s="161"/>
      <c r="BC30" s="161"/>
      <c r="BD30" s="161"/>
      <c r="BE30" s="161"/>
      <c r="BF30" s="161"/>
      <c r="BG30" s="161"/>
      <c r="BH30" s="161"/>
      <c r="BI30" s="161"/>
      <c r="BJ30" s="161"/>
      <c r="BK30" s="161"/>
      <c r="BL30" s="161"/>
      <c r="BM30" s="161"/>
      <c r="BN30" s="161"/>
      <c r="BO30" s="161"/>
      <c r="BP30" s="161"/>
      <c r="BQ30" s="161"/>
      <c r="BR30" s="161"/>
      <c r="BS30" s="161"/>
      <c r="BT30" s="161"/>
      <c r="BU30" s="161"/>
      <c r="BV30" s="161"/>
      <c r="BW30" s="161"/>
      <c r="BX30" s="664"/>
    </row>
    <row r="31" ht="14.05" customHeight="1">
      <c r="A31" s="347"/>
      <c r="B31" s="348"/>
      <c r="C31" s="348"/>
      <c r="D31" s="349"/>
      <c r="E31" s="350"/>
      <c r="F31" s="350"/>
      <c r="G31" s="351"/>
      <c r="H31" t="s" s="685">
        <v>300</v>
      </c>
      <c r="I31" s="686">
        <f>SUM(I11:I30)</f>
        <v>0</v>
      </c>
      <c r="J31" s="281">
        <f>SUM(J11:J30)</f>
        <v>0</v>
      </c>
      <c r="K31" s="687">
        <f>SUM(K11:K30)</f>
        <v>0</v>
      </c>
      <c r="L31" s="396">
        <f>SUM(L11:L30)</f>
        <v>0</v>
      </c>
      <c r="M31" s="281">
        <f>SUM(M11:M30)</f>
        <v>0</v>
      </c>
      <c r="N31" s="398">
        <f>SUM(N11:N30)</f>
        <v>0</v>
      </c>
      <c r="O31" s="355"/>
      <c r="P31" s="348"/>
      <c r="Q31" s="161"/>
      <c r="R31" s="219"/>
      <c r="S31" s="161"/>
      <c r="T31" s="356"/>
      <c r="U31" s="356"/>
      <c r="V31" s="356"/>
      <c r="W31" s="348"/>
      <c r="X31" s="348"/>
      <c r="Y31" s="161"/>
      <c r="Z31" s="161"/>
      <c r="AA31" s="161"/>
      <c r="AB31" s="356"/>
      <c r="AC31" s="356"/>
      <c r="AD31" s="356"/>
      <c r="AE31" s="356"/>
      <c r="AF31" s="356"/>
      <c r="AG31" s="356"/>
      <c r="AH31" s="356"/>
      <c r="AI31" s="356"/>
      <c r="AJ31" s="161"/>
      <c r="AK31" s="161"/>
      <c r="AL31" s="161"/>
      <c r="AM31" s="161"/>
      <c r="AN31" s="161"/>
      <c r="AO31" s="161"/>
      <c r="AP31" s="161"/>
      <c r="AQ31" s="161"/>
      <c r="AR31" s="161"/>
      <c r="AS31" s="161"/>
      <c r="AT31" s="161"/>
      <c r="AU31" s="161"/>
      <c r="AV31" s="161"/>
      <c r="AW31" s="161"/>
      <c r="AX31" s="161"/>
      <c r="AY31" s="161"/>
      <c r="AZ31" s="161"/>
      <c r="BA31" s="161"/>
      <c r="BB31" s="161"/>
      <c r="BC31" s="161"/>
      <c r="BD31" s="161"/>
      <c r="BE31" s="161"/>
      <c r="BF31" s="161"/>
      <c r="BG31" s="161"/>
      <c r="BH31" s="161"/>
      <c r="BI31" s="161"/>
      <c r="BJ31" s="161"/>
      <c r="BK31" s="161"/>
      <c r="BL31" s="161"/>
      <c r="BM31" s="161"/>
      <c r="BN31" s="161"/>
      <c r="BO31" s="161"/>
      <c r="BP31" s="161"/>
      <c r="BQ31" s="161"/>
      <c r="BR31" s="161"/>
      <c r="BS31" s="161"/>
      <c r="BT31" s="161"/>
      <c r="BU31" s="161"/>
      <c r="BV31" s="161"/>
      <c r="BW31" s="161"/>
      <c r="BX31" s="664"/>
    </row>
    <row r="32" ht="26.1" customHeight="1">
      <c r="A32" s="347"/>
      <c r="B32" s="161"/>
      <c r="C32" s="161"/>
      <c r="D32" s="357"/>
      <c r="E32" s="358"/>
      <c r="F32" s="358"/>
      <c r="G32" s="359"/>
      <c r="H32" t="s" s="365">
        <v>158</v>
      </c>
      <c r="I32" t="s" s="366">
        <f>IF(I31&lt;J31+K31,"Error - Lengths Retained and Enhanced Exceed Total Length ▲","Lengths Acceptable ✓")</f>
        <v>301</v>
      </c>
      <c r="J32" s="367"/>
      <c r="K32" s="367"/>
      <c r="L32" s="367"/>
      <c r="M32" s="367"/>
      <c r="N32" s="368"/>
      <c r="O32" s="364">
        <f>_xlfn.IFERROR(FIND("Error",I32),0)</f>
        <v>0</v>
      </c>
      <c r="P32" s="161"/>
      <c r="Q32" s="161"/>
      <c r="R32" s="219"/>
      <c r="S32" s="161"/>
      <c r="T32" s="161"/>
      <c r="U32" s="161"/>
      <c r="V32" s="161"/>
      <c r="W32" s="161"/>
      <c r="X32" s="161"/>
      <c r="Y32" s="161"/>
      <c r="Z32" s="161"/>
      <c r="AA32" s="161"/>
      <c r="AB32" s="161"/>
      <c r="AC32" s="161"/>
      <c r="AD32" s="161"/>
      <c r="AE32" s="161"/>
      <c r="AF32" s="161"/>
      <c r="AG32" s="161"/>
      <c r="AH32" s="161"/>
      <c r="AI32" s="161"/>
      <c r="AJ32" s="161"/>
      <c r="AK32" s="161"/>
      <c r="AL32" s="161"/>
      <c r="AM32" s="161"/>
      <c r="AN32" s="161"/>
      <c r="AO32" s="161"/>
      <c r="AP32" s="161"/>
      <c r="AQ32" s="161"/>
      <c r="AR32" s="161"/>
      <c r="AS32" s="161"/>
      <c r="AT32" s="161"/>
      <c r="AU32" s="161"/>
      <c r="AV32" s="161"/>
      <c r="AW32" s="161"/>
      <c r="AX32" s="161"/>
      <c r="AY32" s="161"/>
      <c r="AZ32" s="161"/>
      <c r="BA32" s="161"/>
      <c r="BB32" s="161"/>
      <c r="BC32" s="161"/>
      <c r="BD32" s="161"/>
      <c r="BE32" s="161"/>
      <c r="BF32" s="161"/>
      <c r="BG32" s="161"/>
      <c r="BH32" s="161"/>
      <c r="BI32" s="161"/>
      <c r="BJ32" s="161"/>
      <c r="BK32" s="161"/>
      <c r="BL32" s="161"/>
      <c r="BM32" s="161"/>
      <c r="BN32" s="161"/>
      <c r="BO32" s="161"/>
      <c r="BP32" s="161"/>
      <c r="BQ32" s="161"/>
      <c r="BR32" s="161"/>
      <c r="BS32" s="161"/>
      <c r="BT32" s="161"/>
      <c r="BU32" s="161"/>
      <c r="BV32" s="161"/>
      <c r="BW32" s="161"/>
      <c r="BX32" s="664"/>
    </row>
    <row r="33" ht="15" customHeight="1">
      <c r="A33" s="347"/>
      <c r="B33" s="161"/>
      <c r="C33" s="161"/>
      <c r="D33" s="357"/>
      <c r="E33" s="358"/>
      <c r="F33" s="358"/>
      <c r="G33" s="359"/>
      <c r="H33" t="s" s="369">
        <v>160</v>
      </c>
      <c r="I33" t="s" s="688">
        <f>IF(I31&lt;5000,"Lengths Acceptable ✓",IF(I31&gt;=5000,"Length Exceeds Length Appropriate for Small Sites Metric ▲"))</f>
        <v>301</v>
      </c>
      <c r="J33" s="689"/>
      <c r="K33" s="689"/>
      <c r="L33" s="689"/>
      <c r="M33" s="689"/>
      <c r="N33" s="690"/>
      <c r="O33" s="364">
        <f>COUNTIF(L11:N30,"*"&amp;"error"&amp;"*")</f>
        <v>0</v>
      </c>
      <c r="P33" s="161"/>
      <c r="Q33" s="161"/>
      <c r="R33" s="219"/>
      <c r="S33" s="161"/>
      <c r="T33" s="161"/>
      <c r="U33" s="161"/>
      <c r="V33" s="161"/>
      <c r="W33" s="161"/>
      <c r="X33" s="161"/>
      <c r="Y33" s="161"/>
      <c r="Z33" s="161"/>
      <c r="AA33" s="161"/>
      <c r="AB33" s="161"/>
      <c r="AC33" s="161"/>
      <c r="AD33" s="161"/>
      <c r="AE33" s="161"/>
      <c r="AF33" s="161"/>
      <c r="AG33" s="161"/>
      <c r="AH33" s="161"/>
      <c r="AI33" s="161"/>
      <c r="AJ33" s="161"/>
      <c r="AK33" s="161"/>
      <c r="AL33" s="161"/>
      <c r="AM33" s="161"/>
      <c r="AN33" s="161"/>
      <c r="AO33" s="161"/>
      <c r="AP33" s="161"/>
      <c r="AQ33" s="161"/>
      <c r="AR33" s="161"/>
      <c r="AS33" s="161"/>
      <c r="AT33" s="161"/>
      <c r="AU33" s="161"/>
      <c r="AV33" s="161"/>
      <c r="AW33" s="161"/>
      <c r="AX33" s="161"/>
      <c r="AY33" s="161"/>
      <c r="AZ33" s="161"/>
      <c r="BA33" s="161"/>
      <c r="BB33" s="161"/>
      <c r="BC33" s="161"/>
      <c r="BD33" s="161"/>
      <c r="BE33" s="161"/>
      <c r="BF33" s="161"/>
      <c r="BG33" s="161"/>
      <c r="BH33" s="161"/>
      <c r="BI33" s="161"/>
      <c r="BJ33" s="161"/>
      <c r="BK33" s="161"/>
      <c r="BL33" s="161"/>
      <c r="BM33" s="161"/>
      <c r="BN33" s="161"/>
      <c r="BO33" s="161"/>
      <c r="BP33" s="161"/>
      <c r="BQ33" s="161"/>
      <c r="BR33" s="161"/>
      <c r="BS33" s="161"/>
      <c r="BT33" s="161"/>
      <c r="BU33" s="161"/>
      <c r="BV33" s="161"/>
      <c r="BW33" s="161"/>
      <c r="BX33" s="664"/>
    </row>
    <row r="34" ht="14.05" customHeight="1">
      <c r="A34" s="347"/>
      <c r="B34" s="161"/>
      <c r="C34" s="161"/>
      <c r="D34" s="357"/>
      <c r="E34" s="358"/>
      <c r="F34" s="358"/>
      <c r="G34" s="358"/>
      <c r="H34" s="350"/>
      <c r="I34" s="350"/>
      <c r="J34" s="350"/>
      <c r="K34" s="350"/>
      <c r="L34" s="350"/>
      <c r="M34" s="350"/>
      <c r="N34" s="350"/>
      <c r="O34" s="358"/>
      <c r="P34" s="161"/>
      <c r="Q34" s="161"/>
      <c r="R34" t="s" s="373">
        <v>99</v>
      </c>
      <c r="S34" s="161"/>
      <c r="T34" s="161"/>
      <c r="U34" s="161"/>
      <c r="V34" s="161"/>
      <c r="W34" s="161"/>
      <c r="X34" s="161"/>
      <c r="Y34" s="161"/>
      <c r="Z34" s="161"/>
      <c r="AA34" s="161"/>
      <c r="AB34" s="161"/>
      <c r="AC34" s="161"/>
      <c r="AD34" s="161"/>
      <c r="AE34" s="161"/>
      <c r="AF34" s="161"/>
      <c r="AG34" s="161"/>
      <c r="AH34" s="161"/>
      <c r="AI34" s="161"/>
      <c r="AJ34" s="161"/>
      <c r="AK34" s="161"/>
      <c r="AL34" s="161"/>
      <c r="AM34" s="161"/>
      <c r="AN34" s="161"/>
      <c r="AO34" s="161"/>
      <c r="AP34" s="161"/>
      <c r="AQ34" s="161"/>
      <c r="AR34" s="161"/>
      <c r="AS34" s="161"/>
      <c r="AT34" s="161"/>
      <c r="AU34" s="161"/>
      <c r="AV34" s="161"/>
      <c r="AW34" s="161"/>
      <c r="AX34" s="161"/>
      <c r="AY34" s="161"/>
      <c r="AZ34" s="161"/>
      <c r="BA34" s="161"/>
      <c r="BB34" s="161"/>
      <c r="BC34" s="161"/>
      <c r="BD34" s="161"/>
      <c r="BE34" s="161"/>
      <c r="BF34" s="161"/>
      <c r="BG34" s="161"/>
      <c r="BH34" s="161"/>
      <c r="BI34" s="161"/>
      <c r="BJ34" s="161"/>
      <c r="BK34" s="161"/>
      <c r="BL34" s="161"/>
      <c r="BM34" s="161"/>
      <c r="BN34" s="161"/>
      <c r="BO34" s="161"/>
      <c r="BP34" s="161"/>
      <c r="BQ34" s="161"/>
      <c r="BR34" s="161"/>
      <c r="BS34" s="161"/>
      <c r="BT34" s="161"/>
      <c r="BU34" s="161"/>
      <c r="BV34" s="161"/>
      <c r="BW34" s="161"/>
      <c r="BX34" s="664"/>
    </row>
    <row r="35" ht="21" customHeight="1">
      <c r="A35" s="347"/>
      <c r="B35" t="s" s="374">
        <v>162</v>
      </c>
      <c r="C35" s="161"/>
      <c r="D35" s="375"/>
      <c r="E35" s="358"/>
      <c r="F35" s="358"/>
      <c r="G35" s="358"/>
      <c r="H35" s="161"/>
      <c r="I35" s="460"/>
      <c r="J35" s="161"/>
      <c r="K35" s="161"/>
      <c r="L35" s="161"/>
      <c r="M35" s="161"/>
      <c r="N35" s="161"/>
      <c r="O35" s="161"/>
      <c r="P35" s="161"/>
      <c r="Q35" s="161"/>
      <c r="R35" s="219"/>
      <c r="S35" s="161"/>
      <c r="T35" s="161"/>
      <c r="U35" s="161"/>
      <c r="V35" s="161"/>
      <c r="W35" s="161"/>
      <c r="X35" s="161"/>
      <c r="Y35" s="161"/>
      <c r="Z35" s="161"/>
      <c r="AA35" s="161"/>
      <c r="AB35" s="161"/>
      <c r="AC35" s="161"/>
      <c r="AD35" s="161"/>
      <c r="AE35" s="161"/>
      <c r="AF35" s="161"/>
      <c r="AG35" s="161"/>
      <c r="AH35" s="161"/>
      <c r="AI35" s="161"/>
      <c r="AJ35" s="161"/>
      <c r="AK35" s="161"/>
      <c r="AL35" s="161"/>
      <c r="AM35" s="161"/>
      <c r="AN35" s="161"/>
      <c r="AO35" s="161"/>
      <c r="AP35" s="161"/>
      <c r="AQ35" s="161"/>
      <c r="AR35" s="161"/>
      <c r="AS35" s="161"/>
      <c r="AT35" s="161"/>
      <c r="AU35" s="161"/>
      <c r="AV35" s="161"/>
      <c r="AW35" s="161"/>
      <c r="AX35" s="161"/>
      <c r="AY35" s="161"/>
      <c r="AZ35" s="161"/>
      <c r="BA35" s="161"/>
      <c r="BB35" s="161"/>
      <c r="BC35" s="161"/>
      <c r="BD35" s="161"/>
      <c r="BE35" s="161"/>
      <c r="BF35" s="161"/>
      <c r="BG35" s="161"/>
      <c r="BH35" s="161"/>
      <c r="BI35" s="161"/>
      <c r="BJ35" s="161"/>
      <c r="BK35" s="161"/>
      <c r="BL35" s="161"/>
      <c r="BM35" s="161"/>
      <c r="BN35" s="161"/>
      <c r="BO35" s="161"/>
      <c r="BP35" s="161"/>
      <c r="BQ35" s="161"/>
      <c r="BR35" s="161"/>
      <c r="BS35" s="161"/>
      <c r="BT35" s="161"/>
      <c r="BU35" s="161"/>
      <c r="BV35" s="161"/>
      <c r="BW35" s="161"/>
      <c r="BX35" s="664"/>
    </row>
    <row r="36" ht="15.75" customHeight="1">
      <c r="A36" s="347"/>
      <c r="B36" s="378"/>
      <c r="C36" s="378"/>
      <c r="D36" s="378"/>
      <c r="E36" s="378"/>
      <c r="F36" s="378"/>
      <c r="G36" s="378"/>
      <c r="H36" s="378"/>
      <c r="I36" s="378"/>
      <c r="J36" s="378"/>
      <c r="K36" s="378"/>
      <c r="L36" s="378"/>
      <c r="M36" s="378"/>
      <c r="N36" s="378"/>
      <c r="O36" s="378"/>
      <c r="P36" s="378"/>
      <c r="Q36" s="161"/>
      <c r="R36" s="219"/>
      <c r="S36" s="161"/>
      <c r="T36" s="378"/>
      <c r="U36" s="378"/>
      <c r="V36" s="378"/>
      <c r="W36" s="378"/>
      <c r="X36" s="378"/>
      <c r="Y36" s="161"/>
      <c r="Z36" s="161"/>
      <c r="AA36" s="161"/>
      <c r="AB36" s="378"/>
      <c r="AC36" s="378"/>
      <c r="AD36" s="378"/>
      <c r="AE36" s="378"/>
      <c r="AF36" s="378"/>
      <c r="AG36" s="378"/>
      <c r="AH36" s="378"/>
      <c r="AI36" s="161"/>
      <c r="AJ36" s="161"/>
      <c r="AK36" s="161"/>
      <c r="AL36" s="161"/>
      <c r="AM36" s="161"/>
      <c r="AN36" s="161"/>
      <c r="AO36" s="161"/>
      <c r="AP36" s="161"/>
      <c r="AQ36" s="161"/>
      <c r="AR36" s="161"/>
      <c r="AS36" s="161"/>
      <c r="AT36" s="161"/>
      <c r="AU36" s="161"/>
      <c r="AV36" s="161"/>
      <c r="AW36" s="161"/>
      <c r="AX36" s="161"/>
      <c r="AY36" s="161"/>
      <c r="AZ36" s="161"/>
      <c r="BA36" s="161"/>
      <c r="BB36" s="161"/>
      <c r="BC36" s="161"/>
      <c r="BD36" s="161"/>
      <c r="BE36" s="161"/>
      <c r="BF36" s="161"/>
      <c r="BG36" s="161"/>
      <c r="BH36" s="161"/>
      <c r="BI36" s="161"/>
      <c r="BJ36" s="161"/>
      <c r="BK36" s="161"/>
      <c r="BL36" s="161"/>
      <c r="BM36" s="161"/>
      <c r="BN36" s="161"/>
      <c r="BO36" s="161"/>
      <c r="BP36" s="161"/>
      <c r="BQ36" s="161"/>
      <c r="BR36" s="161"/>
      <c r="BS36" s="161"/>
      <c r="BT36" s="161"/>
      <c r="BU36" s="161"/>
      <c r="BV36" s="161"/>
      <c r="BW36" s="161"/>
      <c r="BX36" s="664"/>
    </row>
    <row r="37" ht="16.35" customHeight="1">
      <c r="A37" s="379"/>
      <c r="B37" t="s" s="202">
        <v>89</v>
      </c>
      <c r="C37" s="244"/>
      <c r="D37" s="245"/>
      <c r="E37" t="s" s="202">
        <v>163</v>
      </c>
      <c r="F37" s="244"/>
      <c r="G37" s="245"/>
      <c r="H37" t="s" s="243">
        <v>164</v>
      </c>
      <c r="I37" t="s" s="246">
        <v>302</v>
      </c>
      <c r="J37" s="247"/>
      <c r="K37" s="248"/>
      <c r="L37" t="s" s="202">
        <v>303</v>
      </c>
      <c r="M37" s="244"/>
      <c r="N37" s="245"/>
      <c r="O37" t="s" s="202">
        <v>112</v>
      </c>
      <c r="P37" s="245"/>
      <c r="Q37" s="380"/>
      <c r="R37" s="219"/>
      <c r="S37" s="381"/>
      <c r="T37" t="s" s="252">
        <v>113</v>
      </c>
      <c r="U37" s="253"/>
      <c r="V37" s="254"/>
      <c r="W37" t="s" s="252">
        <v>114</v>
      </c>
      <c r="X37" s="254"/>
      <c r="Y37" s="255"/>
      <c r="Z37" s="256"/>
      <c r="AA37" s="256"/>
      <c r="AB37" t="s" s="665">
        <v>115</v>
      </c>
      <c r="AC37" s="253"/>
      <c r="AD37" s="254"/>
      <c r="AE37" t="s" s="252">
        <v>167</v>
      </c>
      <c r="AF37" s="254"/>
      <c r="AG37" t="s" s="252">
        <v>168</v>
      </c>
      <c r="AH37" s="254"/>
      <c r="AI37" s="380"/>
      <c r="AJ37" s="161"/>
      <c r="AK37" s="161"/>
      <c r="AL37" s="161"/>
      <c r="AM37" s="161"/>
      <c r="AN37" s="161"/>
      <c r="AO37" s="161"/>
      <c r="AP37" s="161"/>
      <c r="AQ37" s="161"/>
      <c r="AR37" s="161"/>
      <c r="AS37" s="161"/>
      <c r="AT37" s="161"/>
      <c r="AU37" s="161"/>
      <c r="AV37" s="161"/>
      <c r="AW37" s="161"/>
      <c r="AX37" s="161"/>
      <c r="AY37" s="161"/>
      <c r="AZ37" s="161"/>
      <c r="BA37" s="161"/>
      <c r="BB37" s="161"/>
      <c r="BC37" s="161"/>
      <c r="BD37" s="161"/>
      <c r="BE37" s="161"/>
      <c r="BF37" s="161"/>
      <c r="BG37" s="161"/>
      <c r="BH37" s="161"/>
      <c r="BI37" s="161"/>
      <c r="BJ37" s="161"/>
      <c r="BK37" s="161"/>
      <c r="BL37" s="161"/>
      <c r="BM37" s="161"/>
      <c r="BN37" s="161"/>
      <c r="BO37" s="161"/>
      <c r="BP37" s="161"/>
      <c r="BQ37" s="161"/>
      <c r="BR37" s="161"/>
      <c r="BS37" s="161"/>
      <c r="BT37" s="161"/>
      <c r="BU37" s="161"/>
      <c r="BV37" s="161"/>
      <c r="BW37" s="161"/>
      <c r="BX37" s="664"/>
    </row>
    <row r="38" ht="31.5" customHeight="1">
      <c r="A38" s="379"/>
      <c r="B38" s="382"/>
      <c r="C38" t="s" s="496">
        <v>119</v>
      </c>
      <c r="D38" t="s" s="266">
        <v>169</v>
      </c>
      <c r="E38" t="s" s="230">
        <v>170</v>
      </c>
      <c r="F38" t="s" s="383">
        <v>171</v>
      </c>
      <c r="G38" s="384"/>
      <c r="H38" s="259"/>
      <c r="I38" s="262"/>
      <c r="J38" s="263"/>
      <c r="K38" s="264"/>
      <c r="L38" s="382"/>
      <c r="M38" s="385"/>
      <c r="N38" s="386"/>
      <c r="O38" t="s" s="230">
        <v>127</v>
      </c>
      <c r="P38" t="s" s="266">
        <v>128</v>
      </c>
      <c r="Q38" s="380"/>
      <c r="R38" s="219"/>
      <c r="S38" s="381"/>
      <c r="T38" t="s" s="267">
        <v>129</v>
      </c>
      <c r="U38" s="268"/>
      <c r="V38" t="s" s="269">
        <v>130</v>
      </c>
      <c r="W38" t="s" s="267">
        <v>131</v>
      </c>
      <c r="X38" t="s" s="269">
        <v>130</v>
      </c>
      <c r="Y38" s="255"/>
      <c r="Z38" s="256"/>
      <c r="AA38" s="256"/>
      <c r="AB38" t="s" s="667">
        <v>115</v>
      </c>
      <c r="AC38" t="s" s="270">
        <v>115</v>
      </c>
      <c r="AD38" t="s" s="269">
        <v>132</v>
      </c>
      <c r="AE38" t="s" s="267">
        <v>172</v>
      </c>
      <c r="AF38" t="s" s="269">
        <v>173</v>
      </c>
      <c r="AG38" t="s" s="267">
        <v>174</v>
      </c>
      <c r="AH38" t="s" s="269">
        <v>175</v>
      </c>
      <c r="AI38" s="380"/>
      <c r="AJ38" s="161"/>
      <c r="AK38" s="161"/>
      <c r="AL38" s="161"/>
      <c r="AM38" s="161"/>
      <c r="AN38" s="161"/>
      <c r="AO38" s="161"/>
      <c r="AP38" s="161"/>
      <c r="AQ38" s="161"/>
      <c r="AR38" s="161"/>
      <c r="AS38" s="161"/>
      <c r="AT38" s="161"/>
      <c r="AU38" s="161"/>
      <c r="AV38" s="161"/>
      <c r="AW38" s="161"/>
      <c r="AX38" s="161"/>
      <c r="AY38" s="161"/>
      <c r="AZ38" s="161"/>
      <c r="BA38" s="161"/>
      <c r="BB38" s="161"/>
      <c r="BC38" s="161"/>
      <c r="BD38" s="161"/>
      <c r="BE38" s="161"/>
      <c r="BF38" s="161"/>
      <c r="BG38" s="161"/>
      <c r="BH38" s="161"/>
      <c r="BI38" s="161"/>
      <c r="BJ38" s="161"/>
      <c r="BK38" s="161"/>
      <c r="BL38" s="161"/>
      <c r="BM38" s="161"/>
      <c r="BN38" s="161"/>
      <c r="BO38" s="161"/>
      <c r="BP38" s="161"/>
      <c r="BQ38" s="161"/>
      <c r="BR38" s="161"/>
      <c r="BS38" s="161"/>
      <c r="BT38" s="161"/>
      <c r="BU38" s="161"/>
      <c r="BV38" s="161"/>
      <c r="BW38" s="161"/>
      <c r="BX38" s="664"/>
    </row>
    <row r="39" ht="29.1" customHeight="1">
      <c r="A39" s="379"/>
      <c r="B39" s="272">
        <v>1</v>
      </c>
      <c r="C39" t="s" s="670">
        <v>299</v>
      </c>
      <c r="D39" s="275"/>
      <c r="E39" t="s" s="691">
        <f>IF(D39="","",VLOOKUP(D39,'10. Condition and Temporal'!$B$6:$D$103,3,FALSE))</f>
      </c>
      <c r="F39" s="692"/>
      <c r="G39" s="693"/>
      <c r="H39" s="694"/>
      <c r="I39" s="393"/>
      <c r="J39" s="394"/>
      <c r="K39" s="395"/>
      <c r="L39" t="s" s="505">
        <f>IF(D39="","",_xlfn.IFERROR(IF(I39="","",((I39/1000)*(V39*X39))*(AH39*AF39)*AD39),"This intervention is not permitted within the SSM ▲"))</f>
      </c>
      <c r="M39" s="397"/>
      <c r="N39" s="398"/>
      <c r="O39" s="399"/>
      <c r="P39" s="275"/>
      <c r="Q39" s="400"/>
      <c r="R39" s="219"/>
      <c r="S39" s="381"/>
      <c r="T39" t="s" s="285">
        <f>IF(D39="","",VLOOKUP(D39,'9. All Habitats + Multipliers'!$C$4:$K$102,5,FALSE))</f>
      </c>
      <c r="U39" s="286"/>
      <c r="V39" t="s" s="313">
        <f>IF(T39="","",VLOOKUP(T39,'11. Lists'!$S$47:$U$50,2,FALSE))</f>
      </c>
      <c r="W39" t="s" s="285">
        <f>IF(F39="","",F39)</f>
      </c>
      <c r="X39" t="s" s="313">
        <f>IF(W39="","",VLOOKUP(W39,'11. Lists'!$F$47:$G$51,2,FALSE))</f>
      </c>
      <c r="Y39" s="288"/>
      <c r="Z39" s="289"/>
      <c r="AA39" s="289"/>
      <c r="AB39" t="s" s="675">
        <f>IF(H39="","",H39)</f>
      </c>
      <c r="AC39" t="s" s="291">
        <f>IF(AB39="","",VLOOKUP(AB39,'11. Lists'!$F$36:$H$38,2,FALSE))</f>
      </c>
      <c r="AD39" t="s" s="313">
        <f>IF(AB39="","",VLOOKUP(AB39,'11. Lists'!$F$36:$H$38,3,FALSE))</f>
      </c>
      <c r="AE39" t="s" s="285">
        <f>IF(F39="","",IF(F39="Moderate",VLOOKUP(D39,'10. Condition and Temporal'!$B$6:$L$103,6,FALSE),IF(F39="Good",VLOOKUP(D39,'10. Condition and Temporal'!$B$6:$L$103,7,FALSE),IF(F39="Poor",VLOOKUP(D39,'10. Condition and Temporal'!$B$6:$L$103,8,FALSE),IF(F39="Condition Assessment N/A",VLOOKUP(D39,'10. Condition and Temporal'!$B$6:$L$103,9,FALSE),IF(F39="N/A - Other",VLOOKUP(D39,'10. Condition and Temporal'!$B$6:$L$103,10,FALSE)))))))</f>
      </c>
      <c r="AF39" t="s" s="313">
        <f>IF(AE39="","",VLOOKUP(AE39,'11. Lists'!$I$47:$K$80,3,FALSE))</f>
      </c>
      <c r="AG39" t="s" s="285">
        <f>IF(D39="","",VLOOKUP(D39,'9. All Habitats + Multipliers'!$C$4:$K$102,7,FALSE))</f>
      </c>
      <c r="AH39" t="s" s="313">
        <f>IF(AG39="","",VLOOKUP(AG39,'11. Lists'!$J$35:$K$38,2,FALSE))</f>
      </c>
      <c r="AI39" s="380"/>
      <c r="AJ39" s="161"/>
      <c r="AK39" s="161"/>
      <c r="AL39" s="161"/>
      <c r="AM39" s="161"/>
      <c r="AN39" s="161"/>
      <c r="AO39" s="161"/>
      <c r="AP39" s="161"/>
      <c r="AQ39" s="161"/>
      <c r="AR39" s="161"/>
      <c r="AS39" s="161"/>
      <c r="AT39" s="161"/>
      <c r="AU39" s="161"/>
      <c r="AV39" s="161"/>
      <c r="AW39" s="161"/>
      <c r="AX39" s="161"/>
      <c r="AY39" s="161"/>
      <c r="AZ39" s="161"/>
      <c r="BA39" s="161"/>
      <c r="BB39" s="161"/>
      <c r="BC39" s="161"/>
      <c r="BD39" s="161"/>
      <c r="BE39" s="161"/>
      <c r="BF39" s="161"/>
      <c r="BG39" s="161"/>
      <c r="BH39" s="161"/>
      <c r="BI39" s="161"/>
      <c r="BJ39" s="161"/>
      <c r="BK39" s="161"/>
      <c r="BL39" s="161"/>
      <c r="BM39" s="161"/>
      <c r="BN39" s="161"/>
      <c r="BO39" s="161"/>
      <c r="BP39" s="161"/>
      <c r="BQ39" s="161"/>
      <c r="BR39" s="161"/>
      <c r="BS39" s="161"/>
      <c r="BT39" s="161"/>
      <c r="BU39" s="161"/>
      <c r="BV39" s="161"/>
      <c r="BW39" s="161"/>
      <c r="BX39" s="664"/>
    </row>
    <row r="40" ht="29.1" customHeight="1">
      <c r="A40" s="379"/>
      <c r="B40" s="296">
        <v>2</v>
      </c>
      <c r="C40" t="s" s="670">
        <v>299</v>
      </c>
      <c r="D40" s="315"/>
      <c r="E40" t="s" s="695">
        <f>IF(D40="","",VLOOKUP(D40,'10. Condition and Temporal'!$B$6:$D$103,3,FALSE))</f>
      </c>
      <c r="F40" s="696"/>
      <c r="G40" s="697"/>
      <c r="H40" s="417"/>
      <c r="I40" s="409"/>
      <c r="J40" s="410"/>
      <c r="K40" s="411"/>
      <c r="L40" t="s" s="698">
        <f>IF(D40="","",_xlfn.IFERROR(IF(I40="","",((I40/1000)*(V40*X40))*(AH40*AF40)*AD40),"This intervention is not permitted within the SSM ▲"))</f>
      </c>
      <c r="M40" s="699"/>
      <c r="N40" s="700"/>
      <c r="O40" s="415"/>
      <c r="P40" s="315"/>
      <c r="Q40" s="400"/>
      <c r="R40" s="219"/>
      <c r="S40" s="381"/>
      <c r="T40" t="s" s="285">
        <f>IF(D40="","",VLOOKUP(D40,'9. All Habitats + Multipliers'!$C$4:$K$102,5,FALSE))</f>
      </c>
      <c r="U40" s="286"/>
      <c r="V40" t="s" s="313">
        <f>IF(T40="","",VLOOKUP(T40,'11. Lists'!$S$47:$U$50,2,FALSE))</f>
      </c>
      <c r="W40" t="s" s="285">
        <f>IF(F40="","",F40)</f>
      </c>
      <c r="X40" t="s" s="313">
        <f>IF(W40="","",VLOOKUP(W40,'11. Lists'!$F$47:$G$51,2,FALSE))</f>
      </c>
      <c r="Y40" s="288"/>
      <c r="Z40" s="289"/>
      <c r="AA40" s="289"/>
      <c r="AB40" t="s" s="675">
        <f>IF(H40="","",H40)</f>
      </c>
      <c r="AC40" t="s" s="291">
        <f>IF(AB40="","",VLOOKUP(AB40,'11. Lists'!$F$36:$H$38,2,FALSE))</f>
      </c>
      <c r="AD40" t="s" s="313">
        <f>IF(AB40="","",VLOOKUP(AB40,'11. Lists'!$F$36:$H$38,3,FALSE))</f>
      </c>
      <c r="AE40" t="s" s="285">
        <f>IF(F40="","",IF(F40="Moderate",VLOOKUP(D40,'10. Condition and Temporal'!$B$6:$L$103,6,FALSE),IF(F40="Good",VLOOKUP(D40,'10. Condition and Temporal'!$B$6:$L$103,7,FALSE),IF(F40="Poor",VLOOKUP(D40,'10. Condition and Temporal'!$B$6:$L$103,8,FALSE),IF(F40="Condition Assessment N/A",VLOOKUP(D40,'10. Condition and Temporal'!$B$6:$L$103,9,FALSE),IF(F40="N/A - Other",VLOOKUP(D40,'10. Condition and Temporal'!$B$6:$L$103,10,FALSE)))))))</f>
      </c>
      <c r="AF40" t="s" s="313">
        <f>IF(AE40="","",VLOOKUP(AE40,'11. Lists'!$I$47:$K$80,3,FALSE))</f>
      </c>
      <c r="AG40" t="s" s="285">
        <f>IF(D40="","",VLOOKUP(D40,'9. All Habitats + Multipliers'!$C$4:$K$102,7,FALSE))</f>
      </c>
      <c r="AH40" t="s" s="313">
        <f>IF(AG40="","",VLOOKUP(AG40,'11. Lists'!$J$35:$K$38,2,FALSE))</f>
      </c>
      <c r="AI40" s="380"/>
      <c r="AJ40" s="161"/>
      <c r="AK40" s="161"/>
      <c r="AL40" s="161"/>
      <c r="AM40" s="161"/>
      <c r="AN40" s="161"/>
      <c r="AO40" s="161"/>
      <c r="AP40" s="161"/>
      <c r="AQ40" s="161"/>
      <c r="AR40" s="161"/>
      <c r="AS40" s="161"/>
      <c r="AT40" s="161"/>
      <c r="AU40" s="161"/>
      <c r="AV40" s="161"/>
      <c r="AW40" s="161"/>
      <c r="AX40" s="161"/>
      <c r="AY40" s="161"/>
      <c r="AZ40" s="161"/>
      <c r="BA40" s="161"/>
      <c r="BB40" s="161"/>
      <c r="BC40" s="161"/>
      <c r="BD40" s="161"/>
      <c r="BE40" s="161"/>
      <c r="BF40" s="161"/>
      <c r="BG40" s="161"/>
      <c r="BH40" s="161"/>
      <c r="BI40" s="161"/>
      <c r="BJ40" s="161"/>
      <c r="BK40" s="161"/>
      <c r="BL40" s="161"/>
      <c r="BM40" s="161"/>
      <c r="BN40" s="161"/>
      <c r="BO40" s="161"/>
      <c r="BP40" s="161"/>
      <c r="BQ40" s="161"/>
      <c r="BR40" s="161"/>
      <c r="BS40" s="161"/>
      <c r="BT40" s="161"/>
      <c r="BU40" s="161"/>
      <c r="BV40" s="161"/>
      <c r="BW40" s="161"/>
      <c r="BX40" s="664"/>
    </row>
    <row r="41" ht="29.1" customHeight="1">
      <c r="A41" s="379"/>
      <c r="B41" s="296">
        <v>3</v>
      </c>
      <c r="C41" t="s" s="670">
        <v>299</v>
      </c>
      <c r="D41" s="315"/>
      <c r="E41" t="s" s="695">
        <f>IF(D41="","",VLOOKUP(D41,'10. Condition and Temporal'!$B$6:$D$103,3,FALSE))</f>
      </c>
      <c r="F41" s="696"/>
      <c r="G41" s="697"/>
      <c r="H41" s="417"/>
      <c r="I41" s="409"/>
      <c r="J41" s="410"/>
      <c r="K41" s="411"/>
      <c r="L41" t="s" s="698">
        <f>IF(D41="","",_xlfn.IFERROR(IF(I41="","",((I41/1000)*(V41*X41))*(AH41*AF41)*AD41),"This intervention is not permitted within the SSM ▲"))</f>
      </c>
      <c r="M41" s="699"/>
      <c r="N41" s="700"/>
      <c r="O41" s="415"/>
      <c r="P41" s="315"/>
      <c r="Q41" s="400"/>
      <c r="R41" s="219"/>
      <c r="S41" s="381"/>
      <c r="T41" t="s" s="285">
        <f>IF(D41="","",VLOOKUP(D41,'9. All Habitats + Multipliers'!$C$4:$K$102,5,FALSE))</f>
      </c>
      <c r="U41" s="286"/>
      <c r="V41" t="s" s="313">
        <f>IF(T41="","",VLOOKUP(T41,'11. Lists'!$S$47:$U$50,2,FALSE))</f>
      </c>
      <c r="W41" t="s" s="285">
        <f>IF(F41="","",F41)</f>
      </c>
      <c r="X41" t="s" s="313">
        <f>IF(W41="","",VLOOKUP(W41,'11. Lists'!$F$47:$G$51,2,FALSE))</f>
      </c>
      <c r="Y41" s="288"/>
      <c r="Z41" s="289"/>
      <c r="AA41" s="289"/>
      <c r="AB41" t="s" s="675">
        <f>IF(H41="","",H41)</f>
      </c>
      <c r="AC41" t="s" s="291">
        <f>IF(AB41="","",VLOOKUP(AB41,'11. Lists'!$F$36:$H$38,2,FALSE))</f>
      </c>
      <c r="AD41" t="s" s="313">
        <f>IF(AB41="","",VLOOKUP(AB41,'11. Lists'!$F$36:$H$38,3,FALSE))</f>
      </c>
      <c r="AE41" t="s" s="285">
        <f>IF(F41="","",IF(F41="Moderate",VLOOKUP(D41,'10. Condition and Temporal'!$B$6:$L$103,6,FALSE),IF(F41="Good",VLOOKUP(D41,'10. Condition and Temporal'!$B$6:$L$103,7,FALSE),IF(F41="Poor",VLOOKUP(D41,'10. Condition and Temporal'!$B$6:$L$103,8,FALSE),IF(F41="Condition Assessment N/A",VLOOKUP(D41,'10. Condition and Temporal'!$B$6:$L$103,9,FALSE),IF(F41="N/A - Other",VLOOKUP(D41,'10. Condition and Temporal'!$B$6:$L$103,10,FALSE)))))))</f>
      </c>
      <c r="AF41" t="s" s="313">
        <f>IF(AE41="","",VLOOKUP(AE41,'11. Lists'!$I$47:$K$80,3,FALSE))</f>
      </c>
      <c r="AG41" t="s" s="285">
        <f>IF(D41="","",VLOOKUP(D41,'9. All Habitats + Multipliers'!$C$4:$K$102,7,FALSE))</f>
      </c>
      <c r="AH41" t="s" s="313">
        <f>IF(AG41="","",VLOOKUP(AG41,'11. Lists'!$J$35:$K$38,2,FALSE))</f>
      </c>
      <c r="AI41" s="380"/>
      <c r="AJ41" s="161"/>
      <c r="AK41" s="161"/>
      <c r="AL41" s="161"/>
      <c r="AM41" s="161"/>
      <c r="AN41" s="161"/>
      <c r="AO41" s="161"/>
      <c r="AP41" s="161"/>
      <c r="AQ41" s="161"/>
      <c r="AR41" s="161"/>
      <c r="AS41" s="161"/>
      <c r="AT41" s="161"/>
      <c r="AU41" s="161"/>
      <c r="AV41" s="161"/>
      <c r="AW41" s="161"/>
      <c r="AX41" s="161"/>
      <c r="AY41" s="161"/>
      <c r="AZ41" s="161"/>
      <c r="BA41" s="161"/>
      <c r="BB41" s="161"/>
      <c r="BC41" s="161"/>
      <c r="BD41" s="161"/>
      <c r="BE41" s="161"/>
      <c r="BF41" s="161"/>
      <c r="BG41" s="161"/>
      <c r="BH41" s="161"/>
      <c r="BI41" s="161"/>
      <c r="BJ41" s="161"/>
      <c r="BK41" s="161"/>
      <c r="BL41" s="161"/>
      <c r="BM41" s="161"/>
      <c r="BN41" s="161"/>
      <c r="BO41" s="161"/>
      <c r="BP41" s="161"/>
      <c r="BQ41" s="161"/>
      <c r="BR41" s="161"/>
      <c r="BS41" s="161"/>
      <c r="BT41" s="161"/>
      <c r="BU41" s="161"/>
      <c r="BV41" s="161"/>
      <c r="BW41" s="161"/>
      <c r="BX41" s="664"/>
    </row>
    <row r="42" ht="29.1" customHeight="1">
      <c r="A42" s="379"/>
      <c r="B42" s="296">
        <v>4</v>
      </c>
      <c r="C42" t="s" s="670">
        <v>299</v>
      </c>
      <c r="D42" s="315"/>
      <c r="E42" t="s" s="695">
        <f>IF(D42="","",VLOOKUP(D42,'10. Condition and Temporal'!$B$6:$D$103,3,FALSE))</f>
      </c>
      <c r="F42" s="696"/>
      <c r="G42" s="697"/>
      <c r="H42" s="417"/>
      <c r="I42" s="409"/>
      <c r="J42" s="410"/>
      <c r="K42" s="411"/>
      <c r="L42" t="s" s="698">
        <f>IF(D42="","",_xlfn.IFERROR(IF(I42="","",((I42/1000)*(V42*X42))*(AH42*AF42)*AD42),"This intervention is not permitted within the SSM ▲"))</f>
      </c>
      <c r="M42" s="699"/>
      <c r="N42" s="700"/>
      <c r="O42" s="415"/>
      <c r="P42" s="315"/>
      <c r="Q42" s="400"/>
      <c r="R42" s="219"/>
      <c r="S42" s="381"/>
      <c r="T42" t="s" s="285">
        <f>IF(D42="","",VLOOKUP(D42,'9. All Habitats + Multipliers'!$C$4:$K$102,5,FALSE))</f>
      </c>
      <c r="U42" s="286"/>
      <c r="V42" t="s" s="313">
        <f>IF(T42="","",VLOOKUP(T42,'11. Lists'!$S$47:$U$50,2,FALSE))</f>
      </c>
      <c r="W42" t="s" s="285">
        <f>IF(F42="","",F42)</f>
      </c>
      <c r="X42" t="s" s="313">
        <f>IF(W42="","",VLOOKUP(W42,'11. Lists'!$F$47:$G$51,2,FALSE))</f>
      </c>
      <c r="Y42" s="288"/>
      <c r="Z42" s="289"/>
      <c r="AA42" s="289"/>
      <c r="AB42" t="s" s="675">
        <f>IF(H42="","",H42)</f>
      </c>
      <c r="AC42" t="s" s="291">
        <f>IF(AB42="","",VLOOKUP(AB42,'11. Lists'!$F$36:$H$38,2,FALSE))</f>
      </c>
      <c r="AD42" t="s" s="313">
        <f>IF(AB42="","",VLOOKUP(AB42,'11. Lists'!$F$36:$H$38,3,FALSE))</f>
      </c>
      <c r="AE42" t="s" s="285">
        <f>IF(F42="","",IF(F42="Moderate",VLOOKUP(D42,'10. Condition and Temporal'!$B$6:$L$103,6,FALSE),IF(F42="Good",VLOOKUP(D42,'10. Condition and Temporal'!$B$6:$L$103,7,FALSE),IF(F42="Poor",VLOOKUP(D42,'10. Condition and Temporal'!$B$6:$L$103,8,FALSE),IF(F42="Condition Assessment N/A",VLOOKUP(D42,'10. Condition and Temporal'!$B$6:$L$103,9,FALSE),IF(F42="N/A - Other",VLOOKUP(D42,'10. Condition and Temporal'!$B$6:$L$103,10,FALSE)))))))</f>
      </c>
      <c r="AF42" t="s" s="313">
        <f>IF(AE42="","",VLOOKUP(AE42,'11. Lists'!$I$47:$K$80,3,FALSE))</f>
      </c>
      <c r="AG42" t="s" s="285">
        <f>IF(D42="","",VLOOKUP(D42,'9. All Habitats + Multipliers'!$C$4:$K$102,7,FALSE))</f>
      </c>
      <c r="AH42" t="s" s="313">
        <f>IF(AG42="","",VLOOKUP(AG42,'11. Lists'!$J$35:$K$38,2,FALSE))</f>
      </c>
      <c r="AI42" s="380"/>
      <c r="AJ42" s="161"/>
      <c r="AK42" s="161"/>
      <c r="AL42" s="161"/>
      <c r="AM42" s="161"/>
      <c r="AN42" s="161"/>
      <c r="AO42" s="161"/>
      <c r="AP42" s="161"/>
      <c r="AQ42" s="161"/>
      <c r="AR42" s="161"/>
      <c r="AS42" s="161"/>
      <c r="AT42" s="161"/>
      <c r="AU42" s="161"/>
      <c r="AV42" s="161"/>
      <c r="AW42" s="161"/>
      <c r="AX42" s="161"/>
      <c r="AY42" s="161"/>
      <c r="AZ42" s="161"/>
      <c r="BA42" s="161"/>
      <c r="BB42" s="161"/>
      <c r="BC42" s="161"/>
      <c r="BD42" s="161"/>
      <c r="BE42" s="161"/>
      <c r="BF42" s="161"/>
      <c r="BG42" s="161"/>
      <c r="BH42" s="161"/>
      <c r="BI42" s="161"/>
      <c r="BJ42" s="161"/>
      <c r="BK42" s="161"/>
      <c r="BL42" s="161"/>
      <c r="BM42" s="161"/>
      <c r="BN42" s="161"/>
      <c r="BO42" s="161"/>
      <c r="BP42" s="161"/>
      <c r="BQ42" s="161"/>
      <c r="BR42" s="161"/>
      <c r="BS42" s="161"/>
      <c r="BT42" s="161"/>
      <c r="BU42" s="161"/>
      <c r="BV42" s="161"/>
      <c r="BW42" s="161"/>
      <c r="BX42" s="664"/>
    </row>
    <row r="43" ht="29.1" customHeight="1">
      <c r="A43" s="379"/>
      <c r="B43" s="296">
        <v>5</v>
      </c>
      <c r="C43" t="s" s="670">
        <v>299</v>
      </c>
      <c r="D43" s="315"/>
      <c r="E43" t="s" s="695">
        <f>IF(D43="","",VLOOKUP(D43,'10. Condition and Temporal'!$B$6:$D$103,3,FALSE))</f>
      </c>
      <c r="F43" s="696"/>
      <c r="G43" s="697"/>
      <c r="H43" s="417"/>
      <c r="I43" s="409"/>
      <c r="J43" s="410"/>
      <c r="K43" s="411"/>
      <c r="L43" t="s" s="698">
        <f>IF(D43="","",_xlfn.IFERROR(IF(I43="","",((I43/1000)*(V43*X43))*(AH43*AF43)*AD43),"This intervention is not permitted within the SSM ▲"))</f>
      </c>
      <c r="M43" s="699"/>
      <c r="N43" s="700"/>
      <c r="O43" s="415"/>
      <c r="P43" s="315"/>
      <c r="Q43" s="380"/>
      <c r="R43" s="219"/>
      <c r="S43" s="381"/>
      <c r="T43" t="s" s="285">
        <f>IF(D43="","",VLOOKUP(D43,'9. All Habitats + Multipliers'!$C$4:$K$102,5,FALSE))</f>
      </c>
      <c r="U43" s="286"/>
      <c r="V43" t="s" s="313">
        <f>IF(T43="","",VLOOKUP(T43,'11. Lists'!$S$47:$U$50,2,FALSE))</f>
      </c>
      <c r="W43" t="s" s="285">
        <f>IF(F43="","",F43)</f>
      </c>
      <c r="X43" t="s" s="313">
        <f>IF(W43="","",VLOOKUP(W43,'11. Lists'!$F$47:$G$51,2,FALSE))</f>
      </c>
      <c r="Y43" s="288"/>
      <c r="Z43" s="289"/>
      <c r="AA43" s="289"/>
      <c r="AB43" t="s" s="675">
        <f>IF(H43="","",H43)</f>
      </c>
      <c r="AC43" t="s" s="291">
        <f>IF(AB43="","",VLOOKUP(AB43,'11. Lists'!$F$36:$H$38,2,FALSE))</f>
      </c>
      <c r="AD43" t="s" s="313">
        <f>IF(AB43="","",VLOOKUP(AB43,'11. Lists'!$F$36:$H$38,3,FALSE))</f>
      </c>
      <c r="AE43" t="s" s="285">
        <f>IF(F43="","",IF(F43="Moderate",VLOOKUP(D43,'10. Condition and Temporal'!$B$6:$L$103,6,FALSE),IF(F43="Good",VLOOKUP(D43,'10. Condition and Temporal'!$B$6:$L$103,7,FALSE),IF(F43="Poor",VLOOKUP(D43,'10. Condition and Temporal'!$B$6:$L$103,8,FALSE),IF(F43="Condition Assessment N/A",VLOOKUP(D43,'10. Condition and Temporal'!$B$6:$L$103,9,FALSE),IF(F43="N/A - Other",VLOOKUP(D43,'10. Condition and Temporal'!$B$6:$L$103,10,FALSE)))))))</f>
      </c>
      <c r="AF43" t="s" s="313">
        <f>IF(AE43="","",VLOOKUP(AE43,'11. Lists'!$I$47:$K$80,3,FALSE))</f>
      </c>
      <c r="AG43" t="s" s="285">
        <f>IF(D43="","",VLOOKUP(D43,'9. All Habitats + Multipliers'!$C$4:$K$102,7,FALSE))</f>
      </c>
      <c r="AH43" t="s" s="313">
        <f>IF(AG43="","",VLOOKUP(AG43,'11. Lists'!$J$35:$K$38,2,FALSE))</f>
      </c>
      <c r="AI43" s="380"/>
      <c r="AJ43" s="161"/>
      <c r="AK43" s="161"/>
      <c r="AL43" s="161"/>
      <c r="AM43" s="161"/>
      <c r="AN43" s="161"/>
      <c r="AO43" s="161"/>
      <c r="AP43" s="161"/>
      <c r="AQ43" s="161"/>
      <c r="AR43" s="161"/>
      <c r="AS43" s="161"/>
      <c r="AT43" s="161"/>
      <c r="AU43" s="161"/>
      <c r="AV43" s="161"/>
      <c r="AW43" s="161"/>
      <c r="AX43" s="161"/>
      <c r="AY43" s="161"/>
      <c r="AZ43" s="161"/>
      <c r="BA43" s="161"/>
      <c r="BB43" s="161"/>
      <c r="BC43" s="161"/>
      <c r="BD43" s="161"/>
      <c r="BE43" s="161"/>
      <c r="BF43" s="161"/>
      <c r="BG43" s="161"/>
      <c r="BH43" s="161"/>
      <c r="BI43" s="161"/>
      <c r="BJ43" s="161"/>
      <c r="BK43" s="161"/>
      <c r="BL43" s="161"/>
      <c r="BM43" s="161"/>
      <c r="BN43" s="161"/>
      <c r="BO43" s="161"/>
      <c r="BP43" s="161"/>
      <c r="BQ43" s="161"/>
      <c r="BR43" s="161"/>
      <c r="BS43" s="161"/>
      <c r="BT43" s="161"/>
      <c r="BU43" s="161"/>
      <c r="BV43" s="161"/>
      <c r="BW43" s="161"/>
      <c r="BX43" s="664"/>
    </row>
    <row r="44" ht="29.1" customHeight="1">
      <c r="A44" s="379"/>
      <c r="B44" s="296">
        <v>6</v>
      </c>
      <c r="C44" t="s" s="670">
        <v>299</v>
      </c>
      <c r="D44" s="315"/>
      <c r="E44" t="s" s="695">
        <f>IF(D44="","",VLOOKUP(D44,'10. Condition and Temporal'!$B$6:$D$103,3,FALSE))</f>
      </c>
      <c r="F44" s="696"/>
      <c r="G44" s="697"/>
      <c r="H44" s="417"/>
      <c r="I44" s="409"/>
      <c r="J44" s="410"/>
      <c r="K44" s="411"/>
      <c r="L44" t="s" s="698">
        <f>IF(D44="","",_xlfn.IFERROR(IF(I44="","",((I44/1000)*(V44*X44))*(AH44*AF44)*AD44),"This intervention is not permitted within the SSM ▲"))</f>
      </c>
      <c r="M44" s="699"/>
      <c r="N44" s="700"/>
      <c r="O44" s="415"/>
      <c r="P44" s="315"/>
      <c r="Q44" s="380"/>
      <c r="R44" s="219"/>
      <c r="S44" s="381"/>
      <c r="T44" t="s" s="285">
        <f>IF(D44="","",VLOOKUP(D44,'9. All Habitats + Multipliers'!$C$4:$K$102,5,FALSE))</f>
      </c>
      <c r="U44" s="286"/>
      <c r="V44" t="s" s="313">
        <f>IF(T44="","",VLOOKUP(T44,'11. Lists'!$S$47:$U$50,2,FALSE))</f>
      </c>
      <c r="W44" t="s" s="285">
        <f>IF(F44="","",F44)</f>
      </c>
      <c r="X44" t="s" s="313">
        <f>IF(W44="","",VLOOKUP(W44,'11. Lists'!$F$47:$G$51,2,FALSE))</f>
      </c>
      <c r="Y44" s="288"/>
      <c r="Z44" s="289"/>
      <c r="AA44" s="289"/>
      <c r="AB44" t="s" s="675">
        <f>IF(H44="","",H44)</f>
      </c>
      <c r="AC44" t="s" s="291">
        <f>IF(AB44="","",VLOOKUP(AB44,'11. Lists'!$F$36:$H$38,2,FALSE))</f>
      </c>
      <c r="AD44" t="s" s="313">
        <f>IF(AB44="","",VLOOKUP(AB44,'11. Lists'!$F$36:$H$38,3,FALSE))</f>
      </c>
      <c r="AE44" t="s" s="285">
        <f>IF(F44="","",IF(F44="Moderate",VLOOKUP(D44,'10. Condition and Temporal'!$B$6:$L$103,6,FALSE),IF(F44="Good",VLOOKUP(D44,'10. Condition and Temporal'!$B$6:$L$103,7,FALSE),IF(F44="Poor",VLOOKUP(D44,'10. Condition and Temporal'!$B$6:$L$103,8,FALSE),IF(F44="Condition Assessment N/A",VLOOKUP(D44,'10. Condition and Temporal'!$B$6:$L$103,9,FALSE),IF(F44="N/A - Other",VLOOKUP(D44,'10. Condition and Temporal'!$B$6:$L$103,10,FALSE)))))))</f>
      </c>
      <c r="AF44" t="s" s="313">
        <f>IF(AE44="","",VLOOKUP(AE44,'11. Lists'!$I$47:$K$80,3,FALSE))</f>
      </c>
      <c r="AG44" t="s" s="285">
        <f>IF(D44="","",VLOOKUP(D44,'9. All Habitats + Multipliers'!$C$4:$K$102,7,FALSE))</f>
      </c>
      <c r="AH44" t="s" s="313">
        <f>IF(AG44="","",VLOOKUP(AG44,'11. Lists'!$J$35:$K$38,2,FALSE))</f>
      </c>
      <c r="AI44" s="380"/>
      <c r="AJ44" s="161"/>
      <c r="AK44" s="161"/>
      <c r="AL44" s="161"/>
      <c r="AM44" s="161"/>
      <c r="AN44" s="161"/>
      <c r="AO44" s="161"/>
      <c r="AP44" s="161"/>
      <c r="AQ44" s="161"/>
      <c r="AR44" s="161"/>
      <c r="AS44" s="161"/>
      <c r="AT44" s="161"/>
      <c r="AU44" s="161"/>
      <c r="AV44" s="161"/>
      <c r="AW44" s="161"/>
      <c r="AX44" s="161"/>
      <c r="AY44" s="161"/>
      <c r="AZ44" s="161"/>
      <c r="BA44" s="161"/>
      <c r="BB44" s="161"/>
      <c r="BC44" s="161"/>
      <c r="BD44" s="161"/>
      <c r="BE44" s="161"/>
      <c r="BF44" s="161"/>
      <c r="BG44" s="161"/>
      <c r="BH44" s="161"/>
      <c r="BI44" s="161"/>
      <c r="BJ44" s="161"/>
      <c r="BK44" s="161"/>
      <c r="BL44" s="161"/>
      <c r="BM44" s="161"/>
      <c r="BN44" s="161"/>
      <c r="BO44" s="161"/>
      <c r="BP44" s="161"/>
      <c r="BQ44" s="161"/>
      <c r="BR44" s="161"/>
      <c r="BS44" s="161"/>
      <c r="BT44" s="161"/>
      <c r="BU44" s="161"/>
      <c r="BV44" s="161"/>
      <c r="BW44" s="161"/>
      <c r="BX44" s="664"/>
    </row>
    <row r="45" ht="29.1" customHeight="1">
      <c r="A45" s="379"/>
      <c r="B45" s="296">
        <v>7</v>
      </c>
      <c r="C45" t="s" s="670">
        <v>299</v>
      </c>
      <c r="D45" s="315"/>
      <c r="E45" t="s" s="695">
        <f>IF(D45="","",VLOOKUP(D45,'10. Condition and Temporal'!$B$6:$D$103,3,FALSE))</f>
      </c>
      <c r="F45" s="696"/>
      <c r="G45" s="697"/>
      <c r="H45" s="417"/>
      <c r="I45" s="409"/>
      <c r="J45" s="410"/>
      <c r="K45" s="411"/>
      <c r="L45" t="s" s="698">
        <f>IF(D45="","",_xlfn.IFERROR(IF(I45="","",((I45/1000)*(V45*X45))*(AH45*AF45)*AD45),"This intervention is not permitted within the SSM ▲"))</f>
      </c>
      <c r="M45" s="699"/>
      <c r="N45" s="700"/>
      <c r="O45" s="415"/>
      <c r="P45" s="315"/>
      <c r="Q45" s="380"/>
      <c r="R45" s="219"/>
      <c r="S45" s="381"/>
      <c r="T45" t="s" s="285">
        <f>IF(D45="","",VLOOKUP(D45,'9. All Habitats + Multipliers'!$C$4:$K$102,5,FALSE))</f>
      </c>
      <c r="U45" s="286"/>
      <c r="V45" t="s" s="313">
        <f>IF(T45="","",VLOOKUP(T45,'11. Lists'!$S$47:$U$50,2,FALSE))</f>
      </c>
      <c r="W45" t="s" s="285">
        <f>IF(F45="","",F45)</f>
      </c>
      <c r="X45" t="s" s="313">
        <f>IF(W45="","",VLOOKUP(W45,'11. Lists'!$F$47:$G$51,2,FALSE))</f>
      </c>
      <c r="Y45" s="288"/>
      <c r="Z45" s="289"/>
      <c r="AA45" s="289"/>
      <c r="AB45" t="s" s="675">
        <f>IF(H45="","",H45)</f>
      </c>
      <c r="AC45" t="s" s="291">
        <f>IF(AB45="","",VLOOKUP(AB45,'11. Lists'!$F$36:$H$38,2,FALSE))</f>
      </c>
      <c r="AD45" t="s" s="313">
        <f>IF(AB45="","",VLOOKUP(AB45,'11. Lists'!$F$36:$H$38,3,FALSE))</f>
      </c>
      <c r="AE45" t="s" s="285">
        <f>IF(F45="","",IF(F45="Moderate",VLOOKUP(D45,'10. Condition and Temporal'!$B$6:$L$103,6,FALSE),IF(F45="Good",VLOOKUP(D45,'10. Condition and Temporal'!$B$6:$L$103,7,FALSE),IF(F45="Poor",VLOOKUP(D45,'10. Condition and Temporal'!$B$6:$L$103,8,FALSE),IF(F45="Condition Assessment N/A",VLOOKUP(D45,'10. Condition and Temporal'!$B$6:$L$103,9,FALSE),IF(F45="N/A - Other",VLOOKUP(D45,'10. Condition and Temporal'!$B$6:$L$103,10,FALSE)))))))</f>
      </c>
      <c r="AF45" t="s" s="313">
        <f>IF(AE45="","",VLOOKUP(AE45,'11. Lists'!$I$47:$K$80,3,FALSE))</f>
      </c>
      <c r="AG45" t="s" s="285">
        <f>IF(D45="","",VLOOKUP(D45,'9. All Habitats + Multipliers'!$C$4:$K$102,7,FALSE))</f>
      </c>
      <c r="AH45" t="s" s="313">
        <f>IF(AG45="","",VLOOKUP(AG45,'11. Lists'!$J$35:$K$38,2,FALSE))</f>
      </c>
      <c r="AI45" s="380"/>
      <c r="AJ45" s="161"/>
      <c r="AK45" s="161"/>
      <c r="AL45" s="161"/>
      <c r="AM45" s="161"/>
      <c r="AN45" s="161"/>
      <c r="AO45" s="161"/>
      <c r="AP45" s="161"/>
      <c r="AQ45" s="161"/>
      <c r="AR45" s="161"/>
      <c r="AS45" s="161"/>
      <c r="AT45" s="161"/>
      <c r="AU45" s="161"/>
      <c r="AV45" s="161"/>
      <c r="AW45" s="161"/>
      <c r="AX45" s="161"/>
      <c r="AY45" s="161"/>
      <c r="AZ45" s="161"/>
      <c r="BA45" s="161"/>
      <c r="BB45" s="161"/>
      <c r="BC45" s="161"/>
      <c r="BD45" s="161"/>
      <c r="BE45" s="161"/>
      <c r="BF45" s="161"/>
      <c r="BG45" s="161"/>
      <c r="BH45" s="161"/>
      <c r="BI45" s="161"/>
      <c r="BJ45" s="161"/>
      <c r="BK45" s="161"/>
      <c r="BL45" s="161"/>
      <c r="BM45" s="161"/>
      <c r="BN45" s="161"/>
      <c r="BO45" s="161"/>
      <c r="BP45" s="161"/>
      <c r="BQ45" s="161"/>
      <c r="BR45" s="161"/>
      <c r="BS45" s="161"/>
      <c r="BT45" s="161"/>
      <c r="BU45" s="161"/>
      <c r="BV45" s="161"/>
      <c r="BW45" s="161"/>
      <c r="BX45" s="664"/>
    </row>
    <row r="46" ht="29.1" customHeight="1">
      <c r="A46" s="379"/>
      <c r="B46" s="296">
        <v>8</v>
      </c>
      <c r="C46" t="s" s="670">
        <v>299</v>
      </c>
      <c r="D46" s="315"/>
      <c r="E46" t="s" s="695">
        <f>IF(D46="","",VLOOKUP(D46,'10. Condition and Temporal'!$B$6:$D$103,3,FALSE))</f>
      </c>
      <c r="F46" s="696"/>
      <c r="G46" s="697"/>
      <c r="H46" s="417"/>
      <c r="I46" s="409"/>
      <c r="J46" s="410"/>
      <c r="K46" s="411"/>
      <c r="L46" t="s" s="698">
        <f>IF(D46="","",_xlfn.IFERROR(IF(I46="","",((I46/1000)*(V46*X46))*(AH46*AF46)*AD46),"This intervention is not permitted within the SSM ▲"))</f>
      </c>
      <c r="M46" s="699"/>
      <c r="N46" s="700"/>
      <c r="O46" s="415"/>
      <c r="P46" s="315"/>
      <c r="Q46" s="380"/>
      <c r="R46" s="219"/>
      <c r="S46" s="381"/>
      <c r="T46" t="s" s="285">
        <f>IF(D46="","",VLOOKUP(D46,'9. All Habitats + Multipliers'!$C$4:$K$102,5,FALSE))</f>
      </c>
      <c r="U46" s="286"/>
      <c r="V46" t="s" s="313">
        <f>IF(T46="","",VLOOKUP(T46,'11. Lists'!$S$47:$U$50,2,FALSE))</f>
      </c>
      <c r="W46" t="s" s="285">
        <f>IF(F46="","",F46)</f>
      </c>
      <c r="X46" t="s" s="313">
        <f>IF(W46="","",VLOOKUP(W46,'11. Lists'!$F$47:$G$51,2,FALSE))</f>
      </c>
      <c r="Y46" s="288"/>
      <c r="Z46" s="289"/>
      <c r="AA46" s="289"/>
      <c r="AB46" t="s" s="675">
        <f>IF(H46="","",H46)</f>
      </c>
      <c r="AC46" t="s" s="291">
        <f>IF(AB46="","",VLOOKUP(AB46,'11. Lists'!$F$36:$H$38,2,FALSE))</f>
      </c>
      <c r="AD46" t="s" s="313">
        <f>IF(AB46="","",VLOOKUP(AB46,'11. Lists'!$F$36:$H$38,3,FALSE))</f>
      </c>
      <c r="AE46" t="s" s="285">
        <f>IF(F46="","",IF(F46="Moderate",VLOOKUP(D46,'10. Condition and Temporal'!$B$6:$L$103,6,FALSE),IF(F46="Good",VLOOKUP(D46,'10. Condition and Temporal'!$B$6:$L$103,7,FALSE),IF(F46="Poor",VLOOKUP(D46,'10. Condition and Temporal'!$B$6:$L$103,8,FALSE),IF(F46="Condition Assessment N/A",VLOOKUP(D46,'10. Condition and Temporal'!$B$6:$L$103,9,FALSE),IF(F46="N/A - Other",VLOOKUP(D46,'10. Condition and Temporal'!$B$6:$L$103,10,FALSE)))))))</f>
      </c>
      <c r="AF46" t="s" s="313">
        <f>IF(AE46="","",VLOOKUP(AE46,'11. Lists'!$I$47:$K$80,3,FALSE))</f>
      </c>
      <c r="AG46" t="s" s="285">
        <f>IF(D46="","",VLOOKUP(D46,'9. All Habitats + Multipliers'!$C$4:$K$102,7,FALSE))</f>
      </c>
      <c r="AH46" t="s" s="313">
        <f>IF(AG46="","",VLOOKUP(AG46,'11. Lists'!$J$35:$K$38,2,FALSE))</f>
      </c>
      <c r="AI46" s="380"/>
      <c r="AJ46" s="161"/>
      <c r="AK46" s="161"/>
      <c r="AL46" s="161"/>
      <c r="AM46" s="161"/>
      <c r="AN46" s="161"/>
      <c r="AO46" s="161"/>
      <c r="AP46" s="161"/>
      <c r="AQ46" s="161"/>
      <c r="AR46" s="161"/>
      <c r="AS46" s="161"/>
      <c r="AT46" s="161"/>
      <c r="AU46" s="161"/>
      <c r="AV46" s="161"/>
      <c r="AW46" s="161"/>
      <c r="AX46" s="161"/>
      <c r="AY46" s="161"/>
      <c r="AZ46" s="161"/>
      <c r="BA46" s="161"/>
      <c r="BB46" s="161"/>
      <c r="BC46" s="161"/>
      <c r="BD46" s="161"/>
      <c r="BE46" s="161"/>
      <c r="BF46" s="161"/>
      <c r="BG46" s="161"/>
      <c r="BH46" s="161"/>
      <c r="BI46" s="161"/>
      <c r="BJ46" s="161"/>
      <c r="BK46" s="161"/>
      <c r="BL46" s="161"/>
      <c r="BM46" s="161"/>
      <c r="BN46" s="161"/>
      <c r="BO46" s="161"/>
      <c r="BP46" s="161"/>
      <c r="BQ46" s="161"/>
      <c r="BR46" s="161"/>
      <c r="BS46" s="161"/>
      <c r="BT46" s="161"/>
      <c r="BU46" s="161"/>
      <c r="BV46" s="161"/>
      <c r="BW46" s="161"/>
      <c r="BX46" s="664"/>
    </row>
    <row r="47" ht="29.1" customHeight="1">
      <c r="A47" s="379"/>
      <c r="B47" s="296">
        <v>9</v>
      </c>
      <c r="C47" t="s" s="670">
        <v>299</v>
      </c>
      <c r="D47" s="315"/>
      <c r="E47" t="s" s="695">
        <f>IF(D47="","",VLOOKUP(D47,'10. Condition and Temporal'!$B$6:$D$103,3,FALSE))</f>
      </c>
      <c r="F47" s="696"/>
      <c r="G47" s="697"/>
      <c r="H47" s="417"/>
      <c r="I47" s="409"/>
      <c r="J47" s="410"/>
      <c r="K47" s="411"/>
      <c r="L47" t="s" s="698">
        <f>IF(D47="","",_xlfn.IFERROR(IF(I47="","",((I47/1000)*(V47*X47))*(AH47*AF47)*AD47),"This intervention is not permitted within the SSM ▲"))</f>
      </c>
      <c r="M47" s="699"/>
      <c r="N47" s="700"/>
      <c r="O47" s="415"/>
      <c r="P47" s="315"/>
      <c r="Q47" s="380"/>
      <c r="R47" s="219"/>
      <c r="S47" s="381"/>
      <c r="T47" t="s" s="285">
        <f>IF(D47="","",VLOOKUP(D47,'9. All Habitats + Multipliers'!$C$4:$K$102,5,FALSE))</f>
      </c>
      <c r="U47" s="286"/>
      <c r="V47" t="s" s="313">
        <f>IF(T47="","",VLOOKUP(T47,'11. Lists'!$S$47:$U$50,2,FALSE))</f>
      </c>
      <c r="W47" t="s" s="285">
        <f>IF(F47="","",F47)</f>
      </c>
      <c r="X47" t="s" s="313">
        <f>IF(W47="","",VLOOKUP(W47,'11. Lists'!$F$47:$G$51,2,FALSE))</f>
      </c>
      <c r="Y47" s="288"/>
      <c r="Z47" s="289"/>
      <c r="AA47" s="289"/>
      <c r="AB47" t="s" s="675">
        <f>IF(H47="","",H47)</f>
      </c>
      <c r="AC47" t="s" s="291">
        <f>IF(AB47="","",VLOOKUP(AB47,'11. Lists'!$F$36:$H$38,2,FALSE))</f>
      </c>
      <c r="AD47" t="s" s="313">
        <f>IF(AB47="","",VLOOKUP(AB47,'11. Lists'!$F$36:$H$38,3,FALSE))</f>
      </c>
      <c r="AE47" t="s" s="285">
        <f>IF(F47="","",IF(F47="Moderate",VLOOKUP(D47,'10. Condition and Temporal'!$B$6:$L$103,6,FALSE),IF(F47="Good",VLOOKUP(D47,'10. Condition and Temporal'!$B$6:$L$103,7,FALSE),IF(F47="Poor",VLOOKUP(D47,'10. Condition and Temporal'!$B$6:$L$103,8,FALSE),IF(F47="Condition Assessment N/A",VLOOKUP(D47,'10. Condition and Temporal'!$B$6:$L$103,9,FALSE),IF(F47="N/A - Other",VLOOKUP(D47,'10. Condition and Temporal'!$B$6:$L$103,10,FALSE)))))))</f>
      </c>
      <c r="AF47" t="s" s="313">
        <f>IF(AE47="","",VLOOKUP(AE47,'11. Lists'!$I$47:$K$80,3,FALSE))</f>
      </c>
      <c r="AG47" t="s" s="285">
        <f>IF(D47="","",VLOOKUP(D47,'9. All Habitats + Multipliers'!$C$4:$K$102,7,FALSE))</f>
      </c>
      <c r="AH47" t="s" s="313">
        <f>IF(AG47="","",VLOOKUP(AG47,'11. Lists'!$J$35:$K$38,2,FALSE))</f>
      </c>
      <c r="AI47" s="380"/>
      <c r="AJ47" s="161"/>
      <c r="AK47" s="161"/>
      <c r="AL47" s="161"/>
      <c r="AM47" s="161"/>
      <c r="AN47" s="161"/>
      <c r="AO47" s="161"/>
      <c r="AP47" s="161"/>
      <c r="AQ47" s="161"/>
      <c r="AR47" s="161"/>
      <c r="AS47" s="161"/>
      <c r="AT47" s="161"/>
      <c r="AU47" s="161"/>
      <c r="AV47" s="161"/>
      <c r="AW47" s="161"/>
      <c r="AX47" s="161"/>
      <c r="AY47" s="161"/>
      <c r="AZ47" s="161"/>
      <c r="BA47" s="161"/>
      <c r="BB47" s="161"/>
      <c r="BC47" s="161"/>
      <c r="BD47" s="161"/>
      <c r="BE47" s="161"/>
      <c r="BF47" s="161"/>
      <c r="BG47" s="161"/>
      <c r="BH47" s="161"/>
      <c r="BI47" s="161"/>
      <c r="BJ47" s="161"/>
      <c r="BK47" s="161"/>
      <c r="BL47" s="161"/>
      <c r="BM47" s="161"/>
      <c r="BN47" s="161"/>
      <c r="BO47" s="161"/>
      <c r="BP47" s="161"/>
      <c r="BQ47" s="161"/>
      <c r="BR47" s="161"/>
      <c r="BS47" s="161"/>
      <c r="BT47" s="161"/>
      <c r="BU47" s="161"/>
      <c r="BV47" s="161"/>
      <c r="BW47" s="161"/>
      <c r="BX47" s="664"/>
    </row>
    <row r="48" ht="29.1" customHeight="1">
      <c r="A48" s="379"/>
      <c r="B48" s="296">
        <v>10</v>
      </c>
      <c r="C48" t="s" s="670">
        <v>299</v>
      </c>
      <c r="D48" s="315"/>
      <c r="E48" t="s" s="695">
        <f>IF(D48="","",VLOOKUP(D48,'10. Condition and Temporal'!$B$6:$D$103,3,FALSE))</f>
      </c>
      <c r="F48" s="696"/>
      <c r="G48" s="697"/>
      <c r="H48" s="417"/>
      <c r="I48" s="409"/>
      <c r="J48" s="410"/>
      <c r="K48" s="411"/>
      <c r="L48" t="s" s="698">
        <f>IF(D48="","",_xlfn.IFERROR(IF(I48="","",((I48/1000)*(V48*X48))*(AH48*AF48)*AD48),"This intervention is not permitted within the SSM ▲"))</f>
      </c>
      <c r="M48" s="699"/>
      <c r="N48" s="700"/>
      <c r="O48" s="415"/>
      <c r="P48" s="315"/>
      <c r="Q48" s="380"/>
      <c r="R48" s="219"/>
      <c r="S48" s="381"/>
      <c r="T48" t="s" s="285">
        <f>IF(D48="","",VLOOKUP(D48,'9. All Habitats + Multipliers'!$C$4:$K$102,5,FALSE))</f>
      </c>
      <c r="U48" s="286"/>
      <c r="V48" t="s" s="313">
        <f>IF(T48="","",VLOOKUP(T48,'11. Lists'!$S$47:$U$50,2,FALSE))</f>
      </c>
      <c r="W48" t="s" s="285">
        <f>IF(F48="","",F48)</f>
      </c>
      <c r="X48" t="s" s="313">
        <f>IF(W48="","",VLOOKUP(W48,'11. Lists'!$F$47:$G$51,2,FALSE))</f>
      </c>
      <c r="Y48" s="288"/>
      <c r="Z48" s="289"/>
      <c r="AA48" s="289"/>
      <c r="AB48" t="s" s="675">
        <f>IF(H48="","",H48)</f>
      </c>
      <c r="AC48" t="s" s="291">
        <f>IF(AB48="","",VLOOKUP(AB48,'11. Lists'!$F$36:$H$38,2,FALSE))</f>
      </c>
      <c r="AD48" t="s" s="313">
        <f>IF(AB48="","",VLOOKUP(AB48,'11. Lists'!$F$36:$H$38,3,FALSE))</f>
      </c>
      <c r="AE48" t="s" s="285">
        <f>IF(F48="","",IF(F48="Moderate",VLOOKUP(D48,'10. Condition and Temporal'!$B$6:$L$103,6,FALSE),IF(F48="Good",VLOOKUP(D48,'10. Condition and Temporal'!$B$6:$L$103,7,FALSE),IF(F48="Poor",VLOOKUP(D48,'10. Condition and Temporal'!$B$6:$L$103,8,FALSE),IF(F48="Condition Assessment N/A",VLOOKUP(D48,'10. Condition and Temporal'!$B$6:$L$103,9,FALSE),IF(F48="N/A - Other",VLOOKUP(D48,'10. Condition and Temporal'!$B$6:$L$103,10,FALSE)))))))</f>
      </c>
      <c r="AF48" t="s" s="313">
        <f>IF(AE48="","",VLOOKUP(AE48,'11. Lists'!$I$47:$K$80,3,FALSE))</f>
      </c>
      <c r="AG48" t="s" s="285">
        <f>IF(D48="","",VLOOKUP(D48,'9. All Habitats + Multipliers'!$C$4:$K$102,7,FALSE))</f>
      </c>
      <c r="AH48" t="s" s="313">
        <f>IF(AG48="","",VLOOKUP(AG48,'11. Lists'!$J$35:$K$38,2,FALSE))</f>
      </c>
      <c r="AI48" s="380"/>
      <c r="AJ48" s="161"/>
      <c r="AK48" s="161"/>
      <c r="AL48" s="161"/>
      <c r="AM48" s="161"/>
      <c r="AN48" s="161"/>
      <c r="AO48" s="161"/>
      <c r="AP48" s="161"/>
      <c r="AQ48" s="161"/>
      <c r="AR48" s="161"/>
      <c r="AS48" s="161"/>
      <c r="AT48" s="161"/>
      <c r="AU48" s="161"/>
      <c r="AV48" s="161"/>
      <c r="AW48" s="161"/>
      <c r="AX48" s="161"/>
      <c r="AY48" s="161"/>
      <c r="AZ48" s="161"/>
      <c r="BA48" s="161"/>
      <c r="BB48" s="161"/>
      <c r="BC48" s="161"/>
      <c r="BD48" s="161"/>
      <c r="BE48" s="161"/>
      <c r="BF48" s="161"/>
      <c r="BG48" s="161"/>
      <c r="BH48" s="161"/>
      <c r="BI48" s="161"/>
      <c r="BJ48" s="161"/>
      <c r="BK48" s="161"/>
      <c r="BL48" s="161"/>
      <c r="BM48" s="161"/>
      <c r="BN48" s="161"/>
      <c r="BO48" s="161"/>
      <c r="BP48" s="161"/>
      <c r="BQ48" s="161"/>
      <c r="BR48" s="161"/>
      <c r="BS48" s="161"/>
      <c r="BT48" s="161"/>
      <c r="BU48" s="161"/>
      <c r="BV48" s="161"/>
      <c r="BW48" s="161"/>
      <c r="BX48" s="664"/>
    </row>
    <row r="49" ht="29.1" customHeight="1">
      <c r="A49" s="379"/>
      <c r="B49" s="296">
        <v>11</v>
      </c>
      <c r="C49" t="s" s="670">
        <v>299</v>
      </c>
      <c r="D49" s="315"/>
      <c r="E49" t="s" s="695">
        <f>IF(D49="","",VLOOKUP(D49,'10. Condition and Temporal'!$B$6:$D$103,3,FALSE))</f>
      </c>
      <c r="F49" s="696"/>
      <c r="G49" s="697"/>
      <c r="H49" s="417"/>
      <c r="I49" s="409"/>
      <c r="J49" s="410"/>
      <c r="K49" s="411"/>
      <c r="L49" t="s" s="698">
        <f>IF(D49="","",_xlfn.IFERROR(IF(I49="","",((I49/1000)*(V49*X49))*(AH49*AF49)*AD49),"This intervention is not permitted within the SSM ▲"))</f>
      </c>
      <c r="M49" s="699"/>
      <c r="N49" s="700"/>
      <c r="O49" s="415"/>
      <c r="P49" s="315"/>
      <c r="Q49" s="380"/>
      <c r="R49" s="219"/>
      <c r="S49" s="381"/>
      <c r="T49" t="s" s="285">
        <f>IF(D49="","",VLOOKUP(D49,'9. All Habitats + Multipliers'!$C$4:$K$102,5,FALSE))</f>
      </c>
      <c r="U49" s="286"/>
      <c r="V49" t="s" s="313">
        <f>IF(T49="","",VLOOKUP(T49,'11. Lists'!$S$47:$U$50,2,FALSE))</f>
      </c>
      <c r="W49" t="s" s="285">
        <f>IF(F49="","",F49)</f>
      </c>
      <c r="X49" t="s" s="313">
        <f>IF(W49="","",VLOOKUP(W49,'11. Lists'!$F$47:$G$51,2,FALSE))</f>
      </c>
      <c r="Y49" s="288"/>
      <c r="Z49" s="289"/>
      <c r="AA49" s="289"/>
      <c r="AB49" t="s" s="675">
        <f>IF(H49="","",H49)</f>
      </c>
      <c r="AC49" t="s" s="291">
        <f>IF(AB49="","",VLOOKUP(AB49,'11. Lists'!$F$36:$H$38,2,FALSE))</f>
      </c>
      <c r="AD49" t="s" s="313">
        <f>IF(AB49="","",VLOOKUP(AB49,'11. Lists'!$F$36:$H$38,3,FALSE))</f>
      </c>
      <c r="AE49" t="s" s="285">
        <f>IF(F49="","",IF(F49="Moderate",VLOOKUP(D49,'10. Condition and Temporal'!$B$6:$L$103,6,FALSE),IF(F49="Good",VLOOKUP(D49,'10. Condition and Temporal'!$B$6:$L$103,7,FALSE),IF(F49="Poor",VLOOKUP(D49,'10. Condition and Temporal'!$B$6:$L$103,8,FALSE),IF(F49="Condition Assessment N/A",VLOOKUP(D49,'10. Condition and Temporal'!$B$6:$L$103,9,FALSE),IF(F49="N/A - Other",VLOOKUP(D49,'10. Condition and Temporal'!$B$6:$L$103,10,FALSE)))))))</f>
      </c>
      <c r="AF49" t="s" s="313">
        <f>IF(AE49="","",VLOOKUP(AE49,'11. Lists'!$I$47:$K$80,3,FALSE))</f>
      </c>
      <c r="AG49" t="s" s="285">
        <f>IF(D49="","",VLOOKUP(D49,'9. All Habitats + Multipliers'!$C$4:$K$102,7,FALSE))</f>
      </c>
      <c r="AH49" t="s" s="313">
        <f>IF(AG49="","",VLOOKUP(AG49,'11. Lists'!$J$35:$K$38,2,FALSE))</f>
      </c>
      <c r="AI49" s="380"/>
      <c r="AJ49" s="161"/>
      <c r="AK49" s="161"/>
      <c r="AL49" s="161"/>
      <c r="AM49" s="161"/>
      <c r="AN49" s="161"/>
      <c r="AO49" s="161"/>
      <c r="AP49" s="161"/>
      <c r="AQ49" s="161"/>
      <c r="AR49" s="161"/>
      <c r="AS49" s="161"/>
      <c r="AT49" s="161"/>
      <c r="AU49" s="161"/>
      <c r="AV49" s="161"/>
      <c r="AW49" s="161"/>
      <c r="AX49" s="161"/>
      <c r="AY49" s="161"/>
      <c r="AZ49" s="161"/>
      <c r="BA49" s="161"/>
      <c r="BB49" s="161"/>
      <c r="BC49" s="161"/>
      <c r="BD49" s="161"/>
      <c r="BE49" s="161"/>
      <c r="BF49" s="161"/>
      <c r="BG49" s="161"/>
      <c r="BH49" s="161"/>
      <c r="BI49" s="161"/>
      <c r="BJ49" s="161"/>
      <c r="BK49" s="161"/>
      <c r="BL49" s="161"/>
      <c r="BM49" s="161"/>
      <c r="BN49" s="161"/>
      <c r="BO49" s="161"/>
      <c r="BP49" s="161"/>
      <c r="BQ49" s="161"/>
      <c r="BR49" s="161"/>
      <c r="BS49" s="161"/>
      <c r="BT49" s="161"/>
      <c r="BU49" s="161"/>
      <c r="BV49" s="161"/>
      <c r="BW49" s="161"/>
      <c r="BX49" s="664"/>
    </row>
    <row r="50" ht="29.1" customHeight="1">
      <c r="A50" s="379"/>
      <c r="B50" s="296">
        <v>12</v>
      </c>
      <c r="C50" t="s" s="670">
        <v>299</v>
      </c>
      <c r="D50" s="315"/>
      <c r="E50" t="s" s="695">
        <f>IF(D50="","",VLOOKUP(D50,'10. Condition and Temporal'!$B$6:$D$103,3,FALSE))</f>
      </c>
      <c r="F50" s="696"/>
      <c r="G50" s="697"/>
      <c r="H50" s="417"/>
      <c r="I50" s="409"/>
      <c r="J50" s="410"/>
      <c r="K50" s="411"/>
      <c r="L50" t="s" s="698">
        <f>IF(D50="","",_xlfn.IFERROR(IF(I50="","",((I50/1000)*(V50*X50))*(AH50*AF50)*AD50),"This intervention is not permitted within the SSM ▲"))</f>
      </c>
      <c r="M50" s="699"/>
      <c r="N50" s="700"/>
      <c r="O50" s="415"/>
      <c r="P50" s="315"/>
      <c r="Q50" s="380"/>
      <c r="R50" s="219"/>
      <c r="S50" s="381"/>
      <c r="T50" t="s" s="285">
        <f>IF(D50="","",VLOOKUP(D50,'9. All Habitats + Multipliers'!$C$4:$K$102,5,FALSE))</f>
      </c>
      <c r="U50" s="286"/>
      <c r="V50" t="s" s="313">
        <f>IF(T50="","",VLOOKUP(T50,'11. Lists'!$S$47:$U$50,2,FALSE))</f>
      </c>
      <c r="W50" t="s" s="285">
        <f>IF(F50="","",F50)</f>
      </c>
      <c r="X50" t="s" s="313">
        <f>IF(W50="","",VLOOKUP(W50,'11. Lists'!$F$47:$G$51,2,FALSE))</f>
      </c>
      <c r="Y50" s="288"/>
      <c r="Z50" s="289"/>
      <c r="AA50" s="289"/>
      <c r="AB50" t="s" s="675">
        <f>IF(H50="","",H50)</f>
      </c>
      <c r="AC50" t="s" s="291">
        <f>IF(AB50="","",VLOOKUP(AB50,'11. Lists'!$F$36:$H$38,2,FALSE))</f>
      </c>
      <c r="AD50" t="s" s="313">
        <f>IF(AB50="","",VLOOKUP(AB50,'11. Lists'!$F$36:$H$38,3,FALSE))</f>
      </c>
      <c r="AE50" t="s" s="285">
        <f>IF(F50="","",IF(F50="Moderate",VLOOKUP(D50,'10. Condition and Temporal'!$B$6:$L$103,6,FALSE),IF(F50="Good",VLOOKUP(D50,'10. Condition and Temporal'!$B$6:$L$103,7,FALSE),IF(F50="Poor",VLOOKUP(D50,'10. Condition and Temporal'!$B$6:$L$103,8,FALSE),IF(F50="Condition Assessment N/A",VLOOKUP(D50,'10. Condition and Temporal'!$B$6:$L$103,9,FALSE),IF(F50="N/A - Other",VLOOKUP(D50,'10. Condition and Temporal'!$B$6:$L$103,10,FALSE)))))))</f>
      </c>
      <c r="AF50" t="s" s="313">
        <f>IF(AE50="","",VLOOKUP(AE50,'11. Lists'!$I$47:$K$80,3,FALSE))</f>
      </c>
      <c r="AG50" t="s" s="285">
        <f>IF(D50="","",VLOOKUP(D50,'9. All Habitats + Multipliers'!$C$4:$K$102,7,FALSE))</f>
      </c>
      <c r="AH50" t="s" s="313">
        <f>IF(AG50="","",VLOOKUP(AG50,'11. Lists'!$J$35:$K$38,2,FALSE))</f>
      </c>
      <c r="AI50" s="380"/>
      <c r="AJ50" s="161"/>
      <c r="AK50" s="161"/>
      <c r="AL50" s="161"/>
      <c r="AM50" s="161"/>
      <c r="AN50" s="161"/>
      <c r="AO50" s="161"/>
      <c r="AP50" s="161"/>
      <c r="AQ50" s="161"/>
      <c r="AR50" s="161"/>
      <c r="AS50" s="161"/>
      <c r="AT50" s="161"/>
      <c r="AU50" s="161"/>
      <c r="AV50" s="161"/>
      <c r="AW50" s="161"/>
      <c r="AX50" s="161"/>
      <c r="AY50" s="161"/>
      <c r="AZ50" s="161"/>
      <c r="BA50" s="161"/>
      <c r="BB50" s="161"/>
      <c r="BC50" s="161"/>
      <c r="BD50" s="161"/>
      <c r="BE50" s="161"/>
      <c r="BF50" s="161"/>
      <c r="BG50" s="161"/>
      <c r="BH50" s="161"/>
      <c r="BI50" s="161"/>
      <c r="BJ50" s="161"/>
      <c r="BK50" s="161"/>
      <c r="BL50" s="161"/>
      <c r="BM50" s="161"/>
      <c r="BN50" s="161"/>
      <c r="BO50" s="161"/>
      <c r="BP50" s="161"/>
      <c r="BQ50" s="161"/>
      <c r="BR50" s="161"/>
      <c r="BS50" s="161"/>
      <c r="BT50" s="161"/>
      <c r="BU50" s="161"/>
      <c r="BV50" s="161"/>
      <c r="BW50" s="161"/>
      <c r="BX50" s="664"/>
    </row>
    <row r="51" ht="29.1" customHeight="1">
      <c r="A51" s="379"/>
      <c r="B51" s="296">
        <v>13</v>
      </c>
      <c r="C51" t="s" s="670">
        <v>299</v>
      </c>
      <c r="D51" s="315"/>
      <c r="E51" t="s" s="695">
        <f>IF(D51="","",VLOOKUP(D51,'10. Condition and Temporal'!$B$6:$D$103,3,FALSE))</f>
      </c>
      <c r="F51" s="696"/>
      <c r="G51" s="697"/>
      <c r="H51" s="417"/>
      <c r="I51" s="409"/>
      <c r="J51" s="410"/>
      <c r="K51" s="411"/>
      <c r="L51" t="s" s="698">
        <f>IF(D51="","",_xlfn.IFERROR(IF(I51="","",((I51/1000)*(V51*X51))*(AH51*AF51)*AD51),"This intervention is not permitted within the SSM ▲"))</f>
      </c>
      <c r="M51" s="699"/>
      <c r="N51" s="700"/>
      <c r="O51" s="415"/>
      <c r="P51" s="315"/>
      <c r="Q51" s="380"/>
      <c r="R51" s="219"/>
      <c r="S51" s="381"/>
      <c r="T51" t="s" s="285">
        <f>IF(D51="","",VLOOKUP(D51,'9. All Habitats + Multipliers'!$C$4:$K$102,5,FALSE))</f>
      </c>
      <c r="U51" s="286"/>
      <c r="V51" t="s" s="313">
        <f>IF(T51="","",VLOOKUP(T51,'11. Lists'!$S$47:$U$50,2,FALSE))</f>
      </c>
      <c r="W51" t="s" s="285">
        <f>IF(F51="","",F51)</f>
      </c>
      <c r="X51" t="s" s="313">
        <f>IF(W51="","",VLOOKUP(W51,'11. Lists'!$F$47:$G$51,2,FALSE))</f>
      </c>
      <c r="Y51" s="288"/>
      <c r="Z51" s="289"/>
      <c r="AA51" s="289"/>
      <c r="AB51" t="s" s="675">
        <f>IF(H51="","",H51)</f>
      </c>
      <c r="AC51" t="s" s="291">
        <f>IF(AB51="","",VLOOKUP(AB51,'11. Lists'!$F$36:$H$38,2,FALSE))</f>
      </c>
      <c r="AD51" t="s" s="313">
        <f>IF(AB51="","",VLOOKUP(AB51,'11. Lists'!$F$36:$H$38,3,FALSE))</f>
      </c>
      <c r="AE51" t="s" s="285">
        <f>IF(F51="","",IF(F51="Moderate",VLOOKUP(D51,'10. Condition and Temporal'!$B$6:$L$103,6,FALSE),IF(F51="Good",VLOOKUP(D51,'10. Condition and Temporal'!$B$6:$L$103,7,FALSE),IF(F51="Poor",VLOOKUP(D51,'10. Condition and Temporal'!$B$6:$L$103,8,FALSE),IF(F51="Condition Assessment N/A",VLOOKUP(D51,'10. Condition and Temporal'!$B$6:$L$103,9,FALSE),IF(F51="N/A - Other",VLOOKUP(D51,'10. Condition and Temporal'!$B$6:$L$103,10,FALSE)))))))</f>
      </c>
      <c r="AF51" t="s" s="313">
        <f>IF(AE51="","",VLOOKUP(AE51,'11. Lists'!$I$47:$K$80,3,FALSE))</f>
      </c>
      <c r="AG51" t="s" s="285">
        <f>IF(D51="","",VLOOKUP(D51,'9. All Habitats + Multipliers'!$C$4:$K$102,7,FALSE))</f>
      </c>
      <c r="AH51" t="s" s="313">
        <f>IF(AG51="","",VLOOKUP(AG51,'11. Lists'!$J$35:$K$38,2,FALSE))</f>
      </c>
      <c r="AI51" s="380"/>
      <c r="AJ51" s="161"/>
      <c r="AK51" s="161"/>
      <c r="AL51" s="161"/>
      <c r="AM51" s="161"/>
      <c r="AN51" s="161"/>
      <c r="AO51" s="161"/>
      <c r="AP51" s="161"/>
      <c r="AQ51" s="161"/>
      <c r="AR51" s="161"/>
      <c r="AS51" s="161"/>
      <c r="AT51" s="161"/>
      <c r="AU51" s="161"/>
      <c r="AV51" s="161"/>
      <c r="AW51" s="161"/>
      <c r="AX51" s="161"/>
      <c r="AY51" s="161"/>
      <c r="AZ51" s="161"/>
      <c r="BA51" s="161"/>
      <c r="BB51" s="161"/>
      <c r="BC51" s="161"/>
      <c r="BD51" s="161"/>
      <c r="BE51" s="161"/>
      <c r="BF51" s="161"/>
      <c r="BG51" s="161"/>
      <c r="BH51" s="161"/>
      <c r="BI51" s="161"/>
      <c r="BJ51" s="161"/>
      <c r="BK51" s="161"/>
      <c r="BL51" s="161"/>
      <c r="BM51" s="161"/>
      <c r="BN51" s="161"/>
      <c r="BO51" s="161"/>
      <c r="BP51" s="161"/>
      <c r="BQ51" s="161"/>
      <c r="BR51" s="161"/>
      <c r="BS51" s="161"/>
      <c r="BT51" s="161"/>
      <c r="BU51" s="161"/>
      <c r="BV51" s="161"/>
      <c r="BW51" s="161"/>
      <c r="BX51" s="664"/>
    </row>
    <row r="52" ht="29.1" customHeight="1">
      <c r="A52" s="379"/>
      <c r="B52" s="296">
        <v>14</v>
      </c>
      <c r="C52" t="s" s="670">
        <v>299</v>
      </c>
      <c r="D52" s="315"/>
      <c r="E52" t="s" s="695">
        <f>IF(D52="","",VLOOKUP(D52,'10. Condition and Temporal'!$B$6:$D$103,3,FALSE))</f>
      </c>
      <c r="F52" s="696"/>
      <c r="G52" s="697"/>
      <c r="H52" s="417"/>
      <c r="I52" s="409"/>
      <c r="J52" s="410"/>
      <c r="K52" s="411"/>
      <c r="L52" t="s" s="698">
        <f>IF(D52="","",_xlfn.IFERROR(IF(I52="","",((I52/1000)*(V52*X52))*(AH52*AF52)*AD52),"This intervention is not permitted within the SSM ▲"))</f>
      </c>
      <c r="M52" s="699"/>
      <c r="N52" s="700"/>
      <c r="O52" s="415"/>
      <c r="P52" s="315"/>
      <c r="Q52" s="380"/>
      <c r="R52" s="219"/>
      <c r="S52" s="381"/>
      <c r="T52" t="s" s="285">
        <f>IF(D52="","",VLOOKUP(D52,'9. All Habitats + Multipliers'!$C$4:$K$102,5,FALSE))</f>
      </c>
      <c r="U52" s="286"/>
      <c r="V52" t="s" s="313">
        <f>IF(T52="","",VLOOKUP(T52,'11. Lists'!$S$47:$U$50,2,FALSE))</f>
      </c>
      <c r="W52" t="s" s="285">
        <f>IF(F52="","",F52)</f>
      </c>
      <c r="X52" t="s" s="313">
        <f>IF(W52="","",VLOOKUP(W52,'11. Lists'!$F$47:$G$51,2,FALSE))</f>
      </c>
      <c r="Y52" s="288"/>
      <c r="Z52" s="289"/>
      <c r="AA52" s="289"/>
      <c r="AB52" t="s" s="675">
        <f>IF(H52="","",H52)</f>
      </c>
      <c r="AC52" t="s" s="291">
        <f>IF(AB52="","",VLOOKUP(AB52,'11. Lists'!$F$36:$H$38,2,FALSE))</f>
      </c>
      <c r="AD52" t="s" s="313">
        <f>IF(AB52="","",VLOOKUP(AB52,'11. Lists'!$F$36:$H$38,3,FALSE))</f>
      </c>
      <c r="AE52" t="s" s="285">
        <f>IF(F52="","",IF(F52="Moderate",VLOOKUP(D52,'10. Condition and Temporal'!$B$6:$L$103,6,FALSE),IF(F52="Good",VLOOKUP(D52,'10. Condition and Temporal'!$B$6:$L$103,7,FALSE),IF(F52="Poor",VLOOKUP(D52,'10. Condition and Temporal'!$B$6:$L$103,8,FALSE),IF(F52="Condition Assessment N/A",VLOOKUP(D52,'10. Condition and Temporal'!$B$6:$L$103,9,FALSE),IF(F52="N/A - Other",VLOOKUP(D52,'10. Condition and Temporal'!$B$6:$L$103,10,FALSE)))))))</f>
      </c>
      <c r="AF52" t="s" s="313">
        <f>IF(AE52="","",VLOOKUP(AE52,'11. Lists'!$I$47:$K$80,3,FALSE))</f>
      </c>
      <c r="AG52" t="s" s="285">
        <f>IF(D52="","",VLOOKUP(D52,'9. All Habitats + Multipliers'!$C$4:$K$102,7,FALSE))</f>
      </c>
      <c r="AH52" t="s" s="313">
        <f>IF(AG52="","",VLOOKUP(AG52,'11. Lists'!$J$35:$K$38,2,FALSE))</f>
      </c>
      <c r="AI52" s="380"/>
      <c r="AJ52" s="161"/>
      <c r="AK52" s="161"/>
      <c r="AL52" s="161"/>
      <c r="AM52" s="161"/>
      <c r="AN52" s="161"/>
      <c r="AO52" s="161"/>
      <c r="AP52" s="161"/>
      <c r="AQ52" s="161"/>
      <c r="AR52" s="161"/>
      <c r="AS52" s="161"/>
      <c r="AT52" s="161"/>
      <c r="AU52" s="161"/>
      <c r="AV52" s="161"/>
      <c r="AW52" s="161"/>
      <c r="AX52" s="161"/>
      <c r="AY52" s="161"/>
      <c r="AZ52" s="161"/>
      <c r="BA52" s="161"/>
      <c r="BB52" s="161"/>
      <c r="BC52" s="161"/>
      <c r="BD52" s="161"/>
      <c r="BE52" s="161"/>
      <c r="BF52" s="161"/>
      <c r="BG52" s="161"/>
      <c r="BH52" s="161"/>
      <c r="BI52" s="161"/>
      <c r="BJ52" s="161"/>
      <c r="BK52" s="161"/>
      <c r="BL52" s="161"/>
      <c r="BM52" s="161"/>
      <c r="BN52" s="161"/>
      <c r="BO52" s="161"/>
      <c r="BP52" s="161"/>
      <c r="BQ52" s="161"/>
      <c r="BR52" s="161"/>
      <c r="BS52" s="161"/>
      <c r="BT52" s="161"/>
      <c r="BU52" s="161"/>
      <c r="BV52" s="161"/>
      <c r="BW52" s="161"/>
      <c r="BX52" s="664"/>
    </row>
    <row r="53" ht="29.1" customHeight="1">
      <c r="A53" s="379"/>
      <c r="B53" s="296">
        <v>15</v>
      </c>
      <c r="C53" t="s" s="670">
        <v>299</v>
      </c>
      <c r="D53" s="315"/>
      <c r="E53" t="s" s="695">
        <f>IF(D53="","",VLOOKUP(D53,'10. Condition and Temporal'!$B$6:$D$103,3,FALSE))</f>
      </c>
      <c r="F53" s="696"/>
      <c r="G53" s="697"/>
      <c r="H53" s="417"/>
      <c r="I53" s="409"/>
      <c r="J53" s="410"/>
      <c r="K53" s="411"/>
      <c r="L53" t="s" s="698">
        <f>IF(D53="","",_xlfn.IFERROR(IF(I53="","",((I53/1000)*(V53*X53))*(AH53*AF53)*AD53),"This intervention is not permitted within the SSM ▲"))</f>
      </c>
      <c r="M53" s="699"/>
      <c r="N53" s="700"/>
      <c r="O53" s="415"/>
      <c r="P53" s="315"/>
      <c r="Q53" s="380"/>
      <c r="R53" s="219"/>
      <c r="S53" s="381"/>
      <c r="T53" t="s" s="285">
        <f>IF(D53="","",VLOOKUP(D53,'9. All Habitats + Multipliers'!$C$4:$K$102,5,FALSE))</f>
      </c>
      <c r="U53" s="286"/>
      <c r="V53" t="s" s="313">
        <f>IF(T53="","",VLOOKUP(T53,'11. Lists'!$S$47:$U$50,2,FALSE))</f>
      </c>
      <c r="W53" t="s" s="285">
        <f>IF(F53="","",F53)</f>
      </c>
      <c r="X53" t="s" s="313">
        <f>IF(W53="","",VLOOKUP(W53,'11. Lists'!$F$47:$G$51,2,FALSE))</f>
      </c>
      <c r="Y53" s="288"/>
      <c r="Z53" s="289"/>
      <c r="AA53" s="289"/>
      <c r="AB53" t="s" s="675">
        <f>IF(H53="","",H53)</f>
      </c>
      <c r="AC53" t="s" s="291">
        <f>IF(AB53="","",VLOOKUP(AB53,'11. Lists'!$F$36:$H$38,2,FALSE))</f>
      </c>
      <c r="AD53" t="s" s="313">
        <f>IF(AB53="","",VLOOKUP(AB53,'11. Lists'!$F$36:$H$38,3,FALSE))</f>
      </c>
      <c r="AE53" t="s" s="285">
        <f>IF(F53="","",IF(F53="Moderate",VLOOKUP(D53,'10. Condition and Temporal'!$B$6:$L$103,6,FALSE),IF(F53="Good",VLOOKUP(D53,'10. Condition and Temporal'!$B$6:$L$103,7,FALSE),IF(F53="Poor",VLOOKUP(D53,'10. Condition and Temporal'!$B$6:$L$103,8,FALSE),IF(F53="Condition Assessment N/A",VLOOKUP(D53,'10. Condition and Temporal'!$B$6:$L$103,9,FALSE),IF(F53="N/A - Other",VLOOKUP(D53,'10. Condition and Temporal'!$B$6:$L$103,10,FALSE)))))))</f>
      </c>
      <c r="AF53" t="s" s="313">
        <f>IF(AE53="","",VLOOKUP(AE53,'11. Lists'!$I$47:$K$80,3,FALSE))</f>
      </c>
      <c r="AG53" t="s" s="285">
        <f>IF(D53="","",VLOOKUP(D53,'9. All Habitats + Multipliers'!$C$4:$K$102,7,FALSE))</f>
      </c>
      <c r="AH53" t="s" s="313">
        <f>IF(AG53="","",VLOOKUP(AG53,'11. Lists'!$J$35:$K$38,2,FALSE))</f>
      </c>
      <c r="AI53" s="380"/>
      <c r="AJ53" s="161"/>
      <c r="AK53" s="161"/>
      <c r="AL53" s="161"/>
      <c r="AM53" s="161"/>
      <c r="AN53" s="161"/>
      <c r="AO53" s="161"/>
      <c r="AP53" s="161"/>
      <c r="AQ53" s="161"/>
      <c r="AR53" s="161"/>
      <c r="AS53" s="161"/>
      <c r="AT53" s="161"/>
      <c r="AU53" s="161"/>
      <c r="AV53" s="161"/>
      <c r="AW53" s="161"/>
      <c r="AX53" s="161"/>
      <c r="AY53" s="161"/>
      <c r="AZ53" s="161"/>
      <c r="BA53" s="161"/>
      <c r="BB53" s="161"/>
      <c r="BC53" s="161"/>
      <c r="BD53" s="161"/>
      <c r="BE53" s="161"/>
      <c r="BF53" s="161"/>
      <c r="BG53" s="161"/>
      <c r="BH53" s="161"/>
      <c r="BI53" s="161"/>
      <c r="BJ53" s="161"/>
      <c r="BK53" s="161"/>
      <c r="BL53" s="161"/>
      <c r="BM53" s="161"/>
      <c r="BN53" s="161"/>
      <c r="BO53" s="161"/>
      <c r="BP53" s="161"/>
      <c r="BQ53" s="161"/>
      <c r="BR53" s="161"/>
      <c r="BS53" s="161"/>
      <c r="BT53" s="161"/>
      <c r="BU53" s="161"/>
      <c r="BV53" s="161"/>
      <c r="BW53" s="161"/>
      <c r="BX53" s="664"/>
    </row>
    <row r="54" ht="29.1" customHeight="1">
      <c r="A54" s="379"/>
      <c r="B54" s="296">
        <v>16</v>
      </c>
      <c r="C54" t="s" s="670">
        <v>299</v>
      </c>
      <c r="D54" s="315"/>
      <c r="E54" t="s" s="695">
        <f>IF(D54="","",VLOOKUP(D54,'10. Condition and Temporal'!$B$6:$D$103,3,FALSE))</f>
      </c>
      <c r="F54" s="696"/>
      <c r="G54" s="697"/>
      <c r="H54" s="417"/>
      <c r="I54" s="409"/>
      <c r="J54" s="410"/>
      <c r="K54" s="411"/>
      <c r="L54" t="s" s="698">
        <f>IF(D54="","",_xlfn.IFERROR(IF(I54="","",((I54/1000)*(V54*X54))*(AH54*AF54)*AD54),"This intervention is not permitted within the SSM ▲"))</f>
      </c>
      <c r="M54" s="699"/>
      <c r="N54" s="700"/>
      <c r="O54" s="415"/>
      <c r="P54" s="315"/>
      <c r="Q54" s="380"/>
      <c r="R54" s="219"/>
      <c r="S54" s="381"/>
      <c r="T54" t="s" s="285">
        <f>IF(D54="","",VLOOKUP(D54,'9. All Habitats + Multipliers'!$C$4:$K$102,5,FALSE))</f>
      </c>
      <c r="U54" s="286"/>
      <c r="V54" t="s" s="313">
        <f>IF(T54="","",VLOOKUP(T54,'11. Lists'!$S$47:$U$50,2,FALSE))</f>
      </c>
      <c r="W54" t="s" s="285">
        <f>IF(F54="","",F54)</f>
      </c>
      <c r="X54" t="s" s="313">
        <f>IF(W54="","",VLOOKUP(W54,'11. Lists'!$F$47:$G$51,2,FALSE))</f>
      </c>
      <c r="Y54" s="288"/>
      <c r="Z54" s="289"/>
      <c r="AA54" s="289"/>
      <c r="AB54" t="s" s="675">
        <f>IF(H54="","",H54)</f>
      </c>
      <c r="AC54" t="s" s="291">
        <f>IF(AB54="","",VLOOKUP(AB54,'11. Lists'!$F$36:$H$38,2,FALSE))</f>
      </c>
      <c r="AD54" t="s" s="313">
        <f>IF(AB54="","",VLOOKUP(AB54,'11. Lists'!$F$36:$H$38,3,FALSE))</f>
      </c>
      <c r="AE54" t="s" s="285">
        <f>IF(F54="","",IF(F54="Moderate",VLOOKUP(D54,'10. Condition and Temporal'!$B$6:$L$103,6,FALSE),IF(F54="Good",VLOOKUP(D54,'10. Condition and Temporal'!$B$6:$L$103,7,FALSE),IF(F54="Poor",VLOOKUP(D54,'10. Condition and Temporal'!$B$6:$L$103,8,FALSE),IF(F54="Condition Assessment N/A",VLOOKUP(D54,'10. Condition and Temporal'!$B$6:$L$103,9,FALSE),IF(F54="N/A - Other",VLOOKUP(D54,'10. Condition and Temporal'!$B$6:$L$103,10,FALSE)))))))</f>
      </c>
      <c r="AF54" t="s" s="313">
        <f>IF(AE54="","",VLOOKUP(AE54,'11. Lists'!$I$47:$K$80,3,FALSE))</f>
      </c>
      <c r="AG54" t="s" s="285">
        <f>IF(D54="","",VLOOKUP(D54,'9. All Habitats + Multipliers'!$C$4:$K$102,7,FALSE))</f>
      </c>
      <c r="AH54" t="s" s="313">
        <f>IF(AG54="","",VLOOKUP(AG54,'11. Lists'!$J$35:$K$38,2,FALSE))</f>
      </c>
      <c r="AI54" s="380"/>
      <c r="AJ54" s="161"/>
      <c r="AK54" s="161"/>
      <c r="AL54" s="161"/>
      <c r="AM54" s="161"/>
      <c r="AN54" s="161"/>
      <c r="AO54" s="161"/>
      <c r="AP54" s="161"/>
      <c r="AQ54" s="161"/>
      <c r="AR54" s="161"/>
      <c r="AS54" s="161"/>
      <c r="AT54" s="161"/>
      <c r="AU54" s="161"/>
      <c r="AV54" s="161"/>
      <c r="AW54" s="161"/>
      <c r="AX54" s="161"/>
      <c r="AY54" s="161"/>
      <c r="AZ54" s="161"/>
      <c r="BA54" s="161"/>
      <c r="BB54" s="161"/>
      <c r="BC54" s="161"/>
      <c r="BD54" s="161"/>
      <c r="BE54" s="161"/>
      <c r="BF54" s="161"/>
      <c r="BG54" s="161"/>
      <c r="BH54" s="161"/>
      <c r="BI54" s="161"/>
      <c r="BJ54" s="161"/>
      <c r="BK54" s="161"/>
      <c r="BL54" s="161"/>
      <c r="BM54" s="161"/>
      <c r="BN54" s="161"/>
      <c r="BO54" s="161"/>
      <c r="BP54" s="161"/>
      <c r="BQ54" s="161"/>
      <c r="BR54" s="161"/>
      <c r="BS54" s="161"/>
      <c r="BT54" s="161"/>
      <c r="BU54" s="161"/>
      <c r="BV54" s="161"/>
      <c r="BW54" s="161"/>
      <c r="BX54" s="664"/>
    </row>
    <row r="55" ht="29.1" customHeight="1">
      <c r="A55" s="379"/>
      <c r="B55" s="296">
        <v>17</v>
      </c>
      <c r="C55" t="s" s="670">
        <v>299</v>
      </c>
      <c r="D55" s="315"/>
      <c r="E55" t="s" s="695">
        <f>IF(D55="","",VLOOKUP(D55,'10. Condition and Temporal'!$B$6:$D$103,3,FALSE))</f>
      </c>
      <c r="F55" s="696"/>
      <c r="G55" s="697"/>
      <c r="H55" s="417"/>
      <c r="I55" s="409"/>
      <c r="J55" s="410"/>
      <c r="K55" s="411"/>
      <c r="L55" t="s" s="698">
        <f>IF(D55="","",_xlfn.IFERROR(IF(I55="","",((I55/1000)*(V55*X55))*(AH55*AF55)*AD55),"This intervention is not permitted within the SSM ▲"))</f>
      </c>
      <c r="M55" s="699"/>
      <c r="N55" s="700"/>
      <c r="O55" s="415"/>
      <c r="P55" s="315"/>
      <c r="Q55" s="380"/>
      <c r="R55" s="219"/>
      <c r="S55" s="381"/>
      <c r="T55" t="s" s="285">
        <f>IF(D55="","",VLOOKUP(D55,'9. All Habitats + Multipliers'!$C$4:$K$102,5,FALSE))</f>
      </c>
      <c r="U55" s="286"/>
      <c r="V55" t="s" s="313">
        <f>IF(T55="","",VLOOKUP(T55,'11. Lists'!$S$47:$U$50,2,FALSE))</f>
      </c>
      <c r="W55" t="s" s="285">
        <f>IF(F55="","",F55)</f>
      </c>
      <c r="X55" t="s" s="313">
        <f>IF(W55="","",VLOOKUP(W55,'11. Lists'!$F$47:$G$51,2,FALSE))</f>
      </c>
      <c r="Y55" s="288"/>
      <c r="Z55" s="289"/>
      <c r="AA55" s="289"/>
      <c r="AB55" t="s" s="675">
        <f>IF(H55="","",H55)</f>
      </c>
      <c r="AC55" t="s" s="291">
        <f>IF(AB55="","",VLOOKUP(AB55,'11. Lists'!$F$36:$H$38,2,FALSE))</f>
      </c>
      <c r="AD55" t="s" s="313">
        <f>IF(AB55="","",VLOOKUP(AB55,'11. Lists'!$F$36:$H$38,3,FALSE))</f>
      </c>
      <c r="AE55" t="s" s="285">
        <f>IF(F55="","",IF(F55="Moderate",VLOOKUP(D55,'10. Condition and Temporal'!$B$6:$L$103,6,FALSE),IF(F55="Good",VLOOKUP(D55,'10. Condition and Temporal'!$B$6:$L$103,7,FALSE),IF(F55="Poor",VLOOKUP(D55,'10. Condition and Temporal'!$B$6:$L$103,8,FALSE),IF(F55="Condition Assessment N/A",VLOOKUP(D55,'10. Condition and Temporal'!$B$6:$L$103,9,FALSE),IF(F55="N/A - Other",VLOOKUP(D55,'10. Condition and Temporal'!$B$6:$L$103,10,FALSE)))))))</f>
      </c>
      <c r="AF55" t="s" s="313">
        <f>IF(AE55="","",VLOOKUP(AE55,'11. Lists'!$I$47:$K$80,3,FALSE))</f>
      </c>
      <c r="AG55" t="s" s="285">
        <f>IF(D55="","",VLOOKUP(D55,'9. All Habitats + Multipliers'!$C$4:$K$102,7,FALSE))</f>
      </c>
      <c r="AH55" t="s" s="313">
        <f>IF(AG55="","",VLOOKUP(AG55,'11. Lists'!$J$35:$K$38,2,FALSE))</f>
      </c>
      <c r="AI55" s="380"/>
      <c r="AJ55" s="161"/>
      <c r="AK55" s="161"/>
      <c r="AL55" s="161"/>
      <c r="AM55" s="161"/>
      <c r="AN55" s="161"/>
      <c r="AO55" s="161"/>
      <c r="AP55" s="161"/>
      <c r="AQ55" s="161"/>
      <c r="AR55" s="161"/>
      <c r="AS55" s="161"/>
      <c r="AT55" s="161"/>
      <c r="AU55" s="161"/>
      <c r="AV55" s="161"/>
      <c r="AW55" s="161"/>
      <c r="AX55" s="161"/>
      <c r="AY55" s="161"/>
      <c r="AZ55" s="161"/>
      <c r="BA55" s="161"/>
      <c r="BB55" s="161"/>
      <c r="BC55" s="161"/>
      <c r="BD55" s="161"/>
      <c r="BE55" s="161"/>
      <c r="BF55" s="161"/>
      <c r="BG55" s="161"/>
      <c r="BH55" s="161"/>
      <c r="BI55" s="161"/>
      <c r="BJ55" s="161"/>
      <c r="BK55" s="161"/>
      <c r="BL55" s="161"/>
      <c r="BM55" s="161"/>
      <c r="BN55" s="161"/>
      <c r="BO55" s="161"/>
      <c r="BP55" s="161"/>
      <c r="BQ55" s="161"/>
      <c r="BR55" s="161"/>
      <c r="BS55" s="161"/>
      <c r="BT55" s="161"/>
      <c r="BU55" s="161"/>
      <c r="BV55" s="161"/>
      <c r="BW55" s="161"/>
      <c r="BX55" s="664"/>
    </row>
    <row r="56" ht="29.1" customHeight="1">
      <c r="A56" s="379"/>
      <c r="B56" s="296">
        <v>18</v>
      </c>
      <c r="C56" t="s" s="670">
        <v>299</v>
      </c>
      <c r="D56" s="315"/>
      <c r="E56" t="s" s="695">
        <f>IF(D56="","",VLOOKUP(D56,'10. Condition and Temporal'!$B$6:$D$103,3,FALSE))</f>
      </c>
      <c r="F56" s="696"/>
      <c r="G56" s="697"/>
      <c r="H56" s="417"/>
      <c r="I56" s="409"/>
      <c r="J56" s="410"/>
      <c r="K56" s="411"/>
      <c r="L56" t="s" s="698">
        <f>IF(D56="","",_xlfn.IFERROR(IF(I56="","",((I56/1000)*(V56*X56))*(AH56*AF56)*AD56),"This intervention is not permitted within the SSM ▲"))</f>
      </c>
      <c r="M56" s="699"/>
      <c r="N56" s="700"/>
      <c r="O56" s="415"/>
      <c r="P56" s="315"/>
      <c r="Q56" s="380"/>
      <c r="R56" s="219"/>
      <c r="S56" s="381"/>
      <c r="T56" t="s" s="285">
        <f>IF(D56="","",VLOOKUP(D56,'9. All Habitats + Multipliers'!$C$4:$K$102,5,FALSE))</f>
      </c>
      <c r="U56" s="286"/>
      <c r="V56" t="s" s="313">
        <f>IF(T56="","",VLOOKUP(T56,'11. Lists'!$S$47:$U$50,2,FALSE))</f>
      </c>
      <c r="W56" t="s" s="285">
        <f>IF(F56="","",F56)</f>
      </c>
      <c r="X56" t="s" s="313">
        <f>IF(W56="","",VLOOKUP(W56,'11. Lists'!$F$47:$G$51,2,FALSE))</f>
      </c>
      <c r="Y56" s="288"/>
      <c r="Z56" s="289"/>
      <c r="AA56" s="289"/>
      <c r="AB56" t="s" s="675">
        <f>IF(H56="","",H56)</f>
      </c>
      <c r="AC56" t="s" s="291">
        <f>IF(AB56="","",VLOOKUP(AB56,'11. Lists'!$F$36:$H$38,2,FALSE))</f>
      </c>
      <c r="AD56" t="s" s="313">
        <f>IF(AB56="","",VLOOKUP(AB56,'11. Lists'!$F$36:$H$38,3,FALSE))</f>
      </c>
      <c r="AE56" t="s" s="285">
        <f>IF(F56="","",IF(F56="Moderate",VLOOKUP(D56,'10. Condition and Temporal'!$B$6:$L$103,6,FALSE),IF(F56="Good",VLOOKUP(D56,'10. Condition and Temporal'!$B$6:$L$103,7,FALSE),IF(F56="Poor",VLOOKUP(D56,'10. Condition and Temporal'!$B$6:$L$103,8,FALSE),IF(F56="Condition Assessment N/A",VLOOKUP(D56,'10. Condition and Temporal'!$B$6:$L$103,9,FALSE),IF(F56="N/A - Other",VLOOKUP(D56,'10. Condition and Temporal'!$B$6:$L$103,10,FALSE)))))))</f>
      </c>
      <c r="AF56" t="s" s="313">
        <f>IF(AE56="","",VLOOKUP(AE56,'11. Lists'!$I$47:$K$80,3,FALSE))</f>
      </c>
      <c r="AG56" t="s" s="285">
        <f>IF(D56="","",VLOOKUP(D56,'9. All Habitats + Multipliers'!$C$4:$K$102,7,FALSE))</f>
      </c>
      <c r="AH56" t="s" s="313">
        <f>IF(AG56="","",VLOOKUP(AG56,'11. Lists'!$J$35:$K$38,2,FALSE))</f>
      </c>
      <c r="AI56" s="380"/>
      <c r="AJ56" s="161"/>
      <c r="AK56" s="161"/>
      <c r="AL56" s="161"/>
      <c r="AM56" s="161"/>
      <c r="AN56" s="161"/>
      <c r="AO56" s="161"/>
      <c r="AP56" s="161"/>
      <c r="AQ56" s="161"/>
      <c r="AR56" s="161"/>
      <c r="AS56" s="161"/>
      <c r="AT56" s="161"/>
      <c r="AU56" s="161"/>
      <c r="AV56" s="161"/>
      <c r="AW56" s="161"/>
      <c r="AX56" s="161"/>
      <c r="AY56" s="161"/>
      <c r="AZ56" s="161"/>
      <c r="BA56" s="161"/>
      <c r="BB56" s="161"/>
      <c r="BC56" s="161"/>
      <c r="BD56" s="161"/>
      <c r="BE56" s="161"/>
      <c r="BF56" s="161"/>
      <c r="BG56" s="161"/>
      <c r="BH56" s="161"/>
      <c r="BI56" s="161"/>
      <c r="BJ56" s="161"/>
      <c r="BK56" s="161"/>
      <c r="BL56" s="161"/>
      <c r="BM56" s="161"/>
      <c r="BN56" s="161"/>
      <c r="BO56" s="161"/>
      <c r="BP56" s="161"/>
      <c r="BQ56" s="161"/>
      <c r="BR56" s="161"/>
      <c r="BS56" s="161"/>
      <c r="BT56" s="161"/>
      <c r="BU56" s="161"/>
      <c r="BV56" s="161"/>
      <c r="BW56" s="161"/>
      <c r="BX56" s="664"/>
    </row>
    <row r="57" ht="29.1" customHeight="1">
      <c r="A57" s="379"/>
      <c r="B57" s="296">
        <v>19</v>
      </c>
      <c r="C57" t="s" s="670">
        <v>299</v>
      </c>
      <c r="D57" s="315"/>
      <c r="E57" t="s" s="695">
        <f>IF(D57="","",VLOOKUP(D57,'10. Condition and Temporal'!$B$6:$D$103,3,FALSE))</f>
      </c>
      <c r="F57" s="696"/>
      <c r="G57" s="697"/>
      <c r="H57" s="417"/>
      <c r="I57" s="409"/>
      <c r="J57" s="410"/>
      <c r="K57" s="411"/>
      <c r="L57" t="s" s="698">
        <f>IF(D57="","",_xlfn.IFERROR(IF(I57="","",((I57/1000)*(V57*X57))*(AH57*AF57)*AD57),"This intervention is not permitted within the SSM ▲"))</f>
      </c>
      <c r="M57" s="699"/>
      <c r="N57" s="700"/>
      <c r="O57" s="415"/>
      <c r="P57" s="315"/>
      <c r="Q57" s="380"/>
      <c r="R57" s="219"/>
      <c r="S57" s="381"/>
      <c r="T57" t="s" s="285">
        <f>IF(D57="","",VLOOKUP(D57,'9. All Habitats + Multipliers'!$C$4:$K$102,5,FALSE))</f>
      </c>
      <c r="U57" s="286"/>
      <c r="V57" t="s" s="313">
        <f>IF(T57="","",VLOOKUP(T57,'11. Lists'!$S$47:$U$50,2,FALSE))</f>
      </c>
      <c r="W57" t="s" s="285">
        <f>IF(F57="","",F57)</f>
      </c>
      <c r="X57" t="s" s="313">
        <f>IF(W57="","",VLOOKUP(W57,'11. Lists'!$F$47:$G$51,2,FALSE))</f>
      </c>
      <c r="Y57" s="288"/>
      <c r="Z57" s="289"/>
      <c r="AA57" s="289"/>
      <c r="AB57" t="s" s="675">
        <f>IF(H57="","",H57)</f>
      </c>
      <c r="AC57" t="s" s="291">
        <f>IF(AB57="","",VLOOKUP(AB57,'11. Lists'!$F$36:$H$38,2,FALSE))</f>
      </c>
      <c r="AD57" t="s" s="313">
        <f>IF(AB57="","",VLOOKUP(AB57,'11. Lists'!$F$36:$H$38,3,FALSE))</f>
      </c>
      <c r="AE57" t="s" s="285">
        <f>IF(F57="","",IF(F57="Moderate",VLOOKUP(D57,'10. Condition and Temporal'!$B$6:$L$103,6,FALSE),IF(F57="Good",VLOOKUP(D57,'10. Condition and Temporal'!$B$6:$L$103,7,FALSE),IF(F57="Poor",VLOOKUP(D57,'10. Condition and Temporal'!$B$6:$L$103,8,FALSE),IF(F57="Condition Assessment N/A",VLOOKUP(D57,'10. Condition and Temporal'!$B$6:$L$103,9,FALSE),IF(F57="N/A - Other",VLOOKUP(D57,'10. Condition and Temporal'!$B$6:$L$103,10,FALSE)))))))</f>
      </c>
      <c r="AF57" t="s" s="313">
        <f>IF(AE57="","",VLOOKUP(AE57,'11. Lists'!$I$47:$K$80,3,FALSE))</f>
      </c>
      <c r="AG57" t="s" s="285">
        <f>IF(D57="","",VLOOKUP(D57,'9. All Habitats + Multipliers'!$C$4:$K$102,7,FALSE))</f>
      </c>
      <c r="AH57" t="s" s="313">
        <f>IF(AG57="","",VLOOKUP(AG57,'11. Lists'!$J$35:$K$38,2,FALSE))</f>
      </c>
      <c r="AI57" s="380"/>
      <c r="AJ57" s="161"/>
      <c r="AK57" s="161"/>
      <c r="AL57" s="161"/>
      <c r="AM57" s="161"/>
      <c r="AN57" s="161"/>
      <c r="AO57" s="161"/>
      <c r="AP57" s="161"/>
      <c r="AQ57" s="161"/>
      <c r="AR57" s="161"/>
      <c r="AS57" s="161"/>
      <c r="AT57" s="161"/>
      <c r="AU57" s="161"/>
      <c r="AV57" s="161"/>
      <c r="AW57" s="161"/>
      <c r="AX57" s="161"/>
      <c r="AY57" s="161"/>
      <c r="AZ57" s="161"/>
      <c r="BA57" s="161"/>
      <c r="BB57" s="161"/>
      <c r="BC57" s="161"/>
      <c r="BD57" s="161"/>
      <c r="BE57" s="161"/>
      <c r="BF57" s="161"/>
      <c r="BG57" s="161"/>
      <c r="BH57" s="161"/>
      <c r="BI57" s="161"/>
      <c r="BJ57" s="161"/>
      <c r="BK57" s="161"/>
      <c r="BL57" s="161"/>
      <c r="BM57" s="161"/>
      <c r="BN57" s="161"/>
      <c r="BO57" s="161"/>
      <c r="BP57" s="161"/>
      <c r="BQ57" s="161"/>
      <c r="BR57" s="161"/>
      <c r="BS57" s="161"/>
      <c r="BT57" s="161"/>
      <c r="BU57" s="161"/>
      <c r="BV57" s="161"/>
      <c r="BW57" s="161"/>
      <c r="BX57" s="664"/>
    </row>
    <row r="58" ht="29.45" customHeight="1">
      <c r="A58" s="379"/>
      <c r="B58" s="419">
        <v>20</v>
      </c>
      <c r="C58" t="s" s="680">
        <v>299</v>
      </c>
      <c r="D58" s="338"/>
      <c r="E58" t="s" s="701">
        <f>IF(D58="","",VLOOKUP(D58,'10. Condition and Temporal'!$B$6:$D$103,3,FALSE))</f>
      </c>
      <c r="F58" s="702"/>
      <c r="G58" s="703"/>
      <c r="H58" s="423"/>
      <c r="I58" s="424"/>
      <c r="J58" s="425"/>
      <c r="K58" s="426"/>
      <c r="L58" t="s" s="704">
        <f>IF(D58="","",_xlfn.IFERROR(IF(I58="","",((I58/1000)*(V58*X58))*(AH58*AF58)*AD58),"This intervention is not permitted within the SSM ▲"))</f>
      </c>
      <c r="M58" s="705"/>
      <c r="N58" s="706"/>
      <c r="O58" s="337"/>
      <c r="P58" s="338"/>
      <c r="Q58" s="380"/>
      <c r="R58" s="219"/>
      <c r="S58" s="381"/>
      <c r="T58" t="s" s="285">
        <f>IF(D58="","",VLOOKUP(D58,'9. All Habitats + Multipliers'!$C$4:$K$102,5,FALSE))</f>
      </c>
      <c r="U58" s="286"/>
      <c r="V58" t="s" s="313">
        <f>IF(T58="","",VLOOKUP(T58,'11. Lists'!$S$47:$U$50,2,FALSE))</f>
      </c>
      <c r="W58" t="s" s="339">
        <f>IF(F58="","",F58)</f>
      </c>
      <c r="X58" t="s" s="531">
        <f>IF(W58="","",VLOOKUP(W58,'11. Lists'!$F$47:$G$51,2,FALSE))</f>
      </c>
      <c r="Y58" s="288"/>
      <c r="Z58" s="289"/>
      <c r="AA58" s="289"/>
      <c r="AB58" t="s" s="675">
        <f>IF(H58="","",H58)</f>
      </c>
      <c r="AC58" t="s" s="291">
        <f>IF(AB58="","",VLOOKUP(AB58,'11. Lists'!$F$36:$H$38,2,FALSE))</f>
      </c>
      <c r="AD58" t="s" s="313">
        <f>IF(AB58="","",VLOOKUP(AB58,'11. Lists'!$F$36:$H$38,3,FALSE))</f>
      </c>
      <c r="AE58" t="s" s="285">
        <f>IF(F58="","",IF(F58="Moderate",VLOOKUP(D58,'10. Condition and Temporal'!$B$6:$L$103,6,FALSE),IF(F58="Good",VLOOKUP(D58,'10. Condition and Temporal'!$B$6:$L$103,7,FALSE),IF(F58="Poor",VLOOKUP(D58,'10. Condition and Temporal'!$B$6:$L$103,8,FALSE),IF(F58="Condition Assessment N/A",VLOOKUP(D58,'10. Condition and Temporal'!$B$6:$L$103,9,FALSE),IF(F58="N/A - Other",VLOOKUP(D58,'10. Condition and Temporal'!$B$6:$L$103,10,FALSE)))))))</f>
      </c>
      <c r="AF58" t="s" s="313">
        <f>IF(AE58="","",VLOOKUP(AE58,'11. Lists'!$I$47:$K$80,3,FALSE))</f>
      </c>
      <c r="AG58" t="s" s="285">
        <f>IF(D58="","",VLOOKUP(D58,'9. All Habitats + Multipliers'!$C$4:$K$102,7,FALSE))</f>
      </c>
      <c r="AH58" t="s" s="313">
        <f>IF(AG58="","",VLOOKUP(AG58,'11. Lists'!$J$35:$K$38,2,FALSE))</f>
      </c>
      <c r="AI58" s="380"/>
      <c r="AJ58" s="161"/>
      <c r="AK58" s="161"/>
      <c r="AL58" s="161"/>
      <c r="AM58" s="161"/>
      <c r="AN58" s="161"/>
      <c r="AO58" s="161"/>
      <c r="AP58" s="161"/>
      <c r="AQ58" s="161"/>
      <c r="AR58" s="161"/>
      <c r="AS58" s="161"/>
      <c r="AT58" s="161"/>
      <c r="AU58" s="161"/>
      <c r="AV58" s="161"/>
      <c r="AW58" s="161"/>
      <c r="AX58" s="161"/>
      <c r="AY58" s="161"/>
      <c r="AZ58" s="161"/>
      <c r="BA58" s="161"/>
      <c r="BB58" s="161"/>
      <c r="BC58" s="161"/>
      <c r="BD58" s="161"/>
      <c r="BE58" s="161"/>
      <c r="BF58" s="161"/>
      <c r="BG58" s="161"/>
      <c r="BH58" s="161"/>
      <c r="BI58" s="161"/>
      <c r="BJ58" s="161"/>
      <c r="BK58" s="161"/>
      <c r="BL58" s="161"/>
      <c r="BM58" s="161"/>
      <c r="BN58" s="161"/>
      <c r="BO58" s="161"/>
      <c r="BP58" s="161"/>
      <c r="BQ58" s="161"/>
      <c r="BR58" s="161"/>
      <c r="BS58" s="161"/>
      <c r="BT58" s="161"/>
      <c r="BU58" s="161"/>
      <c r="BV58" s="161"/>
      <c r="BW58" s="161"/>
      <c r="BX58" s="664"/>
    </row>
    <row r="59" ht="15" customHeight="1">
      <c r="A59" s="347"/>
      <c r="B59" s="348"/>
      <c r="C59" s="348"/>
      <c r="D59" s="348"/>
      <c r="E59" s="348"/>
      <c r="F59" s="348"/>
      <c r="G59" s="443"/>
      <c r="H59" t="s" s="685">
        <v>300</v>
      </c>
      <c r="I59" s="707">
        <f>SUM(I39:K58)</f>
        <v>0</v>
      </c>
      <c r="J59" s="708"/>
      <c r="K59" s="709"/>
      <c r="L59" s="710">
        <f>SUM(L39:N58)</f>
        <v>0</v>
      </c>
      <c r="M59" s="711"/>
      <c r="N59" s="712"/>
      <c r="O59" s="355"/>
      <c r="P59" s="348"/>
      <c r="Q59" s="161"/>
      <c r="R59" s="219"/>
      <c r="S59" s="161"/>
      <c r="T59" s="356"/>
      <c r="U59" s="356"/>
      <c r="V59" s="356"/>
      <c r="W59" s="348"/>
      <c r="X59" s="348"/>
      <c r="Y59" s="161"/>
      <c r="Z59" s="161"/>
      <c r="AA59" s="161"/>
      <c r="AB59" s="356"/>
      <c r="AC59" s="356"/>
      <c r="AD59" s="356"/>
      <c r="AE59" s="356"/>
      <c r="AF59" s="356"/>
      <c r="AG59" s="356"/>
      <c r="AH59" s="356"/>
      <c r="AI59" s="161"/>
      <c r="AJ59" s="161"/>
      <c r="AK59" s="161"/>
      <c r="AL59" s="161"/>
      <c r="AM59" s="161"/>
      <c r="AN59" s="161"/>
      <c r="AO59" s="161"/>
      <c r="AP59" s="161"/>
      <c r="AQ59" s="161"/>
      <c r="AR59" s="161"/>
      <c r="AS59" s="161"/>
      <c r="AT59" s="161"/>
      <c r="AU59" s="161"/>
      <c r="AV59" s="161"/>
      <c r="AW59" s="161"/>
      <c r="AX59" s="161"/>
      <c r="AY59" s="161"/>
      <c r="AZ59" s="161"/>
      <c r="BA59" s="161"/>
      <c r="BB59" s="161"/>
      <c r="BC59" s="161"/>
      <c r="BD59" s="161"/>
      <c r="BE59" s="161"/>
      <c r="BF59" s="161"/>
      <c r="BG59" s="161"/>
      <c r="BH59" s="161"/>
      <c r="BI59" s="161"/>
      <c r="BJ59" s="161"/>
      <c r="BK59" s="161"/>
      <c r="BL59" s="161"/>
      <c r="BM59" s="161"/>
      <c r="BN59" s="161"/>
      <c r="BO59" s="161"/>
      <c r="BP59" s="161"/>
      <c r="BQ59" s="161"/>
      <c r="BR59" s="161"/>
      <c r="BS59" s="161"/>
      <c r="BT59" s="161"/>
      <c r="BU59" s="161"/>
      <c r="BV59" s="161"/>
      <c r="BW59" s="161"/>
      <c r="BX59" s="664"/>
    </row>
    <row r="60" ht="15" customHeight="1">
      <c r="A60" s="347"/>
      <c r="B60" s="161"/>
      <c r="C60" s="161"/>
      <c r="D60" s="161"/>
      <c r="E60" s="161"/>
      <c r="F60" s="161"/>
      <c r="G60" s="381"/>
      <c r="H60" t="s" s="369">
        <v>158</v>
      </c>
      <c r="I60" t="s" s="688">
        <f>IF(I59&lt;5000,"Lengths Acceptable ✓",IF(I59&gt;=5000,"Length Exceeds Length Appropriate for Small Sites Metric ▲"))</f>
        <v>301</v>
      </c>
      <c r="J60" s="689"/>
      <c r="K60" s="689"/>
      <c r="L60" s="689"/>
      <c r="M60" s="689"/>
      <c r="N60" s="690"/>
      <c r="O60" s="380"/>
      <c r="P60" s="161"/>
      <c r="Q60" s="161"/>
      <c r="R60" s="219"/>
      <c r="S60" s="161"/>
      <c r="T60" s="161"/>
      <c r="U60" s="161"/>
      <c r="V60" s="161"/>
      <c r="W60" s="161"/>
      <c r="X60" s="161"/>
      <c r="Y60" s="161"/>
      <c r="Z60" s="161"/>
      <c r="AA60" s="161"/>
      <c r="AB60" s="161"/>
      <c r="AC60" s="161"/>
      <c r="AD60" s="161"/>
      <c r="AE60" s="161"/>
      <c r="AF60" s="161"/>
      <c r="AG60" s="161"/>
      <c r="AH60" s="161"/>
      <c r="AI60" s="161"/>
      <c r="AJ60" s="161"/>
      <c r="AK60" s="161"/>
      <c r="AL60" s="161"/>
      <c r="AM60" s="161"/>
      <c r="AN60" s="161"/>
      <c r="AO60" s="161"/>
      <c r="AP60" s="161"/>
      <c r="AQ60" s="161"/>
      <c r="AR60" s="161"/>
      <c r="AS60" s="161"/>
      <c r="AT60" s="161"/>
      <c r="AU60" s="161"/>
      <c r="AV60" s="161"/>
      <c r="AW60" s="161"/>
      <c r="AX60" s="161"/>
      <c r="AY60" s="161"/>
      <c r="AZ60" s="161"/>
      <c r="BA60" s="455"/>
      <c r="BB60" s="161"/>
      <c r="BC60" s="161"/>
      <c r="BD60" s="161"/>
      <c r="BE60" s="161"/>
      <c r="BF60" s="161"/>
      <c r="BG60" s="161"/>
      <c r="BH60" s="161"/>
      <c r="BI60" s="161"/>
      <c r="BJ60" s="161"/>
      <c r="BK60" s="161"/>
      <c r="BL60" s="161"/>
      <c r="BM60" s="161"/>
      <c r="BN60" s="161"/>
      <c r="BO60" s="161"/>
      <c r="BP60" s="161"/>
      <c r="BQ60" s="161"/>
      <c r="BR60" s="161"/>
      <c r="BS60" s="161"/>
      <c r="BT60" s="161"/>
      <c r="BU60" s="161"/>
      <c r="BV60" s="161"/>
      <c r="BW60" s="161"/>
      <c r="BX60" s="664"/>
    </row>
    <row r="61" ht="14.05" customHeight="1">
      <c r="A61" s="347"/>
      <c r="B61" s="161"/>
      <c r="C61" s="161"/>
      <c r="D61" s="161"/>
      <c r="E61" s="161"/>
      <c r="F61" s="161"/>
      <c r="G61" s="161"/>
      <c r="H61" s="348"/>
      <c r="I61" s="348"/>
      <c r="J61" s="348"/>
      <c r="K61" s="348"/>
      <c r="L61" s="348"/>
      <c r="M61" s="348"/>
      <c r="N61" s="348"/>
      <c r="O61" s="161"/>
      <c r="P61" s="161"/>
      <c r="Q61" s="161"/>
      <c r="R61" s="219"/>
      <c r="S61" s="161"/>
      <c r="T61" s="161"/>
      <c r="U61" s="161"/>
      <c r="V61" s="161"/>
      <c r="W61" s="161"/>
      <c r="X61" s="161"/>
      <c r="Y61" s="161"/>
      <c r="Z61" s="161"/>
      <c r="AA61" s="161"/>
      <c r="AB61" s="161"/>
      <c r="AC61" s="161"/>
      <c r="AD61" s="161"/>
      <c r="AE61" s="161"/>
      <c r="AF61" s="161"/>
      <c r="AG61" s="161"/>
      <c r="AH61" s="161"/>
      <c r="AI61" s="161"/>
      <c r="AJ61" s="161"/>
      <c r="AK61" s="161"/>
      <c r="AL61" s="161"/>
      <c r="AM61" s="161"/>
      <c r="AN61" s="161"/>
      <c r="AO61" s="161"/>
      <c r="AP61" s="161"/>
      <c r="AQ61" s="161"/>
      <c r="AR61" s="161"/>
      <c r="AS61" s="161"/>
      <c r="AT61" s="161"/>
      <c r="AU61" s="161"/>
      <c r="AV61" s="161"/>
      <c r="AW61" s="161"/>
      <c r="AX61" s="161"/>
      <c r="AY61" s="161"/>
      <c r="AZ61" s="457"/>
      <c r="BA61" t="s" s="458">
        <v>184</v>
      </c>
      <c r="BB61" s="459"/>
      <c r="BC61" s="161"/>
      <c r="BD61" s="161"/>
      <c r="BE61" s="161"/>
      <c r="BF61" s="161"/>
      <c r="BG61" s="161"/>
      <c r="BH61" s="161"/>
      <c r="BI61" s="161"/>
      <c r="BJ61" s="161"/>
      <c r="BK61" s="161"/>
      <c r="BL61" s="161"/>
      <c r="BM61" s="161"/>
      <c r="BN61" s="161"/>
      <c r="BO61" s="161"/>
      <c r="BP61" s="161"/>
      <c r="BQ61" s="161"/>
      <c r="BR61" s="161"/>
      <c r="BS61" s="161"/>
      <c r="BT61" s="161"/>
      <c r="BU61" s="161"/>
      <c r="BV61" s="161"/>
      <c r="BW61" s="161"/>
      <c r="BX61" s="664"/>
    </row>
    <row r="62" ht="21" customHeight="1">
      <c r="A62" s="347"/>
      <c r="B62" t="s" s="374">
        <v>185</v>
      </c>
      <c r="C62" s="161"/>
      <c r="D62" s="375"/>
      <c r="E62" s="161"/>
      <c r="F62" s="161"/>
      <c r="G62" s="161"/>
      <c r="H62" s="460"/>
      <c r="I62" s="161"/>
      <c r="J62" s="161"/>
      <c r="K62" s="161"/>
      <c r="L62" s="161"/>
      <c r="M62" s="161"/>
      <c r="N62" s="161"/>
      <c r="O62" s="161"/>
      <c r="P62" s="161"/>
      <c r="Q62" s="161"/>
      <c r="R62" s="219"/>
      <c r="S62" s="161"/>
      <c r="T62" s="161"/>
      <c r="U62" s="161"/>
      <c r="V62" s="161"/>
      <c r="W62" s="161"/>
      <c r="X62" s="161"/>
      <c r="Y62" s="161"/>
      <c r="Z62" s="161"/>
      <c r="AA62" s="161"/>
      <c r="AB62" s="161"/>
      <c r="AC62" s="161"/>
      <c r="AD62" s="161"/>
      <c r="AE62" s="161"/>
      <c r="AF62" s="161"/>
      <c r="AG62" s="161"/>
      <c r="AH62" s="161"/>
      <c r="AI62" s="161"/>
      <c r="AJ62" s="161"/>
      <c r="AK62" s="161"/>
      <c r="AL62" s="161"/>
      <c r="AM62" s="161"/>
      <c r="AN62" s="161"/>
      <c r="AO62" s="161"/>
      <c r="AP62" s="161"/>
      <c r="AQ62" s="161"/>
      <c r="AR62" s="161"/>
      <c r="AS62" s="161"/>
      <c r="AT62" s="161"/>
      <c r="AU62" s="161"/>
      <c r="AV62" s="161"/>
      <c r="AW62" s="161"/>
      <c r="AX62" s="161"/>
      <c r="AY62" s="161"/>
      <c r="AZ62" s="457"/>
      <c r="BA62" t="s" s="458">
        <v>186</v>
      </c>
      <c r="BB62" s="459"/>
      <c r="BC62" s="161"/>
      <c r="BD62" s="161"/>
      <c r="BE62" s="161"/>
      <c r="BF62" s="161"/>
      <c r="BG62" s="161"/>
      <c r="BH62" s="161"/>
      <c r="BI62" s="161"/>
      <c r="BJ62" s="161"/>
      <c r="BK62" s="161"/>
      <c r="BL62" s="161"/>
      <c r="BM62" s="161"/>
      <c r="BN62" s="161"/>
      <c r="BO62" s="161"/>
      <c r="BP62" s="161"/>
      <c r="BQ62" s="161"/>
      <c r="BR62" s="161"/>
      <c r="BS62" s="161"/>
      <c r="BT62" s="161"/>
      <c r="BU62" s="161"/>
      <c r="BV62" s="161"/>
      <c r="BW62" s="161"/>
      <c r="BX62" s="664"/>
    </row>
    <row r="63" ht="15" customHeight="1">
      <c r="A63" s="713"/>
      <c r="B63" s="378"/>
      <c r="C63" s="378"/>
      <c r="D63" s="378"/>
      <c r="E63" s="378"/>
      <c r="F63" s="378"/>
      <c r="G63" s="378"/>
      <c r="H63" s="378"/>
      <c r="I63" s="378"/>
      <c r="J63" s="378"/>
      <c r="K63" s="378"/>
      <c r="L63" s="378"/>
      <c r="M63" s="378"/>
      <c r="N63" s="378"/>
      <c r="O63" s="378"/>
      <c r="P63" s="378"/>
      <c r="Q63" s="161"/>
      <c r="R63" s="219"/>
      <c r="S63" s="161"/>
      <c r="T63" s="378"/>
      <c r="U63" s="378"/>
      <c r="V63" s="378"/>
      <c r="W63" s="378"/>
      <c r="X63" s="378"/>
      <c r="Y63" s="378"/>
      <c r="Z63" s="378"/>
      <c r="AA63" s="378"/>
      <c r="AB63" s="378"/>
      <c r="AC63" s="378"/>
      <c r="AD63" s="378"/>
      <c r="AE63" s="378"/>
      <c r="AF63" s="378"/>
      <c r="AG63" s="378"/>
      <c r="AH63" s="378"/>
      <c r="AI63" s="378"/>
      <c r="AJ63" s="378"/>
      <c r="AK63" s="378"/>
      <c r="AL63" s="378"/>
      <c r="AM63" s="378"/>
      <c r="AN63" s="378"/>
      <c r="AO63" s="378"/>
      <c r="AP63" s="378"/>
      <c r="AQ63" s="378"/>
      <c r="AR63" s="378"/>
      <c r="AS63" s="378"/>
      <c r="AT63" s="378"/>
      <c r="AU63" s="378"/>
      <c r="AV63" s="378"/>
      <c r="AW63" s="378"/>
      <c r="AX63" s="378"/>
      <c r="AY63" s="161"/>
      <c r="AZ63" s="161"/>
      <c r="BA63" s="461"/>
      <c r="BB63" s="378"/>
      <c r="BC63" s="378"/>
      <c r="BD63" s="378"/>
      <c r="BE63" s="378"/>
      <c r="BF63" s="378"/>
      <c r="BG63" s="378"/>
      <c r="BH63" s="378"/>
      <c r="BI63" s="378"/>
      <c r="BJ63" s="378"/>
      <c r="BK63" s="378"/>
      <c r="BL63" s="378"/>
      <c r="BM63" s="378"/>
      <c r="BN63" s="378"/>
      <c r="BO63" s="378"/>
      <c r="BP63" s="378"/>
      <c r="BQ63" s="378"/>
      <c r="BR63" s="378"/>
      <c r="BS63" s="378"/>
      <c r="BT63" s="378"/>
      <c r="BU63" s="378"/>
      <c r="BV63" s="161"/>
      <c r="BW63" s="161"/>
      <c r="BX63" s="664"/>
    </row>
    <row r="64" ht="16.35" customHeight="1">
      <c r="A64" s="714"/>
      <c r="B64" t="s" s="462">
        <v>187</v>
      </c>
      <c r="C64" t="s" s="252">
        <v>188</v>
      </c>
      <c r="D64" s="254"/>
      <c r="E64" t="s" s="202">
        <v>189</v>
      </c>
      <c r="F64" s="244"/>
      <c r="G64" s="245"/>
      <c r="H64" t="s" s="444">
        <v>190</v>
      </c>
      <c r="I64" t="s" s="444">
        <v>304</v>
      </c>
      <c r="J64" t="s" s="463">
        <v>192</v>
      </c>
      <c r="K64" s="464"/>
      <c r="L64" t="s" s="252">
        <v>193</v>
      </c>
      <c r="M64" t="s" s="465">
        <v>194</v>
      </c>
      <c r="N64" s="254"/>
      <c r="O64" t="s" s="466">
        <v>112</v>
      </c>
      <c r="P64" s="467"/>
      <c r="Q64" s="380"/>
      <c r="R64" s="219"/>
      <c r="S64" s="381"/>
      <c r="T64" t="s" s="468">
        <v>195</v>
      </c>
      <c r="U64" s="469"/>
      <c r="V64" s="469"/>
      <c r="W64" s="469"/>
      <c r="X64" s="469"/>
      <c r="Y64" s="469"/>
      <c r="Z64" s="469"/>
      <c r="AA64" s="469"/>
      <c r="AB64" s="469"/>
      <c r="AC64" s="469"/>
      <c r="AD64" s="470"/>
      <c r="AE64" t="s" s="444">
        <v>196</v>
      </c>
      <c r="AF64" t="s" s="468">
        <v>197</v>
      </c>
      <c r="AG64" s="469"/>
      <c r="AH64" s="469"/>
      <c r="AI64" s="469"/>
      <c r="AJ64" s="469"/>
      <c r="AK64" s="469"/>
      <c r="AL64" s="469"/>
      <c r="AM64" s="469"/>
      <c r="AN64" s="469"/>
      <c r="AO64" s="469"/>
      <c r="AP64" s="470"/>
      <c r="AQ64" t="s" s="444">
        <v>198</v>
      </c>
      <c r="AR64" t="s" s="468">
        <v>197</v>
      </c>
      <c r="AS64" s="469"/>
      <c r="AT64" s="469"/>
      <c r="AU64" s="469"/>
      <c r="AV64" s="469"/>
      <c r="AW64" s="469"/>
      <c r="AX64" s="470"/>
      <c r="AY64" s="380"/>
      <c r="AZ64" s="381"/>
      <c r="BA64" t="s" s="202">
        <v>199</v>
      </c>
      <c r="BB64" s="473">
        <f>COUNTIF(BB66:BB85,"?*")</f>
        <v>0</v>
      </c>
      <c r="BC64" s="473">
        <f>COUNTIF(BC66:BC85,"?*")</f>
        <v>0</v>
      </c>
      <c r="BD64" s="473">
        <f>COUNTIF(BD66:BD85,"?*")</f>
        <v>0</v>
      </c>
      <c r="BE64" s="473">
        <f>COUNTIF(BE66:BE85,"?*")</f>
        <v>0</v>
      </c>
      <c r="BF64" s="473">
        <f>COUNTIF(BF66:BF85,"?*")</f>
        <v>0</v>
      </c>
      <c r="BG64" s="473">
        <f>COUNTIF(BG66:BG85,"?*")</f>
        <v>0</v>
      </c>
      <c r="BH64" s="473">
        <f>COUNTIF(BH66:BH85,"?*")</f>
        <v>0</v>
      </c>
      <c r="BI64" s="473">
        <f>COUNTIF(BI66:BI85,"?*")</f>
        <v>0</v>
      </c>
      <c r="BJ64" s="473">
        <f>COUNTIF(BJ66:BJ85,"?*")</f>
        <v>0</v>
      </c>
      <c r="BK64" s="473">
        <f>COUNTIF(BK66:BK85,"?*")</f>
        <v>0</v>
      </c>
      <c r="BL64" s="473">
        <f>COUNTIF(BL66:BL85,"?*")</f>
        <v>0</v>
      </c>
      <c r="BM64" s="473">
        <f>COUNTIF(BM66:BM85,"?*")</f>
        <v>0</v>
      </c>
      <c r="BN64" s="473">
        <f>COUNTIF(BN66:BN85,"?*")</f>
        <v>0</v>
      </c>
      <c r="BO64" s="473">
        <f>COUNTIF(BO66:BO85,"?*")</f>
        <v>0</v>
      </c>
      <c r="BP64" s="473">
        <f>COUNTIF(BP66:BP85,"?*")</f>
        <v>0</v>
      </c>
      <c r="BQ64" s="473">
        <f>COUNTIF(BQ66:BQ85,"?*")</f>
        <v>0</v>
      </c>
      <c r="BR64" s="473">
        <f>COUNTIF(BR66:BR85,"?*")</f>
        <v>0</v>
      </c>
      <c r="BS64" s="473">
        <f>COUNTIF(BS66:BS85,"?*")</f>
        <v>0</v>
      </c>
      <c r="BT64" s="473">
        <f>COUNTIF(BT66:BT85,"?*")</f>
        <v>0</v>
      </c>
      <c r="BU64" s="473">
        <f>COUNTIF(BU66:BU85,"?*")</f>
        <v>0</v>
      </c>
      <c r="BV64" s="474"/>
      <c r="BW64" s="455"/>
      <c r="BX64" s="715"/>
    </row>
    <row r="65" ht="41.45" customHeight="1">
      <c r="A65" s="714"/>
      <c r="B65" s="475"/>
      <c r="C65" t="s" s="476">
        <v>200</v>
      </c>
      <c r="D65" t="s" s="266">
        <v>201</v>
      </c>
      <c r="E65" t="s" s="230">
        <v>202</v>
      </c>
      <c r="F65" t="s" s="383">
        <v>203</v>
      </c>
      <c r="G65" s="384"/>
      <c r="H65" s="487"/>
      <c r="I65" s="487"/>
      <c r="J65" s="716"/>
      <c r="K65" s="717"/>
      <c r="L65" s="480"/>
      <c r="M65" s="481"/>
      <c r="N65" s="482"/>
      <c r="O65" t="s" s="230">
        <v>127</v>
      </c>
      <c r="P65" t="s" s="266">
        <v>128</v>
      </c>
      <c r="Q65" s="380"/>
      <c r="R65" s="219"/>
      <c r="S65" s="381"/>
      <c r="T65" t="s" s="352">
        <v>204</v>
      </c>
      <c r="U65" t="s" s="483">
        <v>205</v>
      </c>
      <c r="V65" t="s" s="484">
        <v>206</v>
      </c>
      <c r="W65" t="s" s="483">
        <v>207</v>
      </c>
      <c r="X65" t="s" s="465">
        <v>208</v>
      </c>
      <c r="Y65" s="486"/>
      <c r="Z65" s="486"/>
      <c r="AA65" s="486"/>
      <c r="AB65" t="s" s="465">
        <v>209</v>
      </c>
      <c r="AC65" t="s" s="485">
        <v>210</v>
      </c>
      <c r="AD65" t="s" s="484">
        <v>211</v>
      </c>
      <c r="AE65" s="487"/>
      <c r="AF65" t="s" s="352">
        <v>204</v>
      </c>
      <c r="AG65" t="s" s="483">
        <v>129</v>
      </c>
      <c r="AH65" t="s" s="484">
        <v>130</v>
      </c>
      <c r="AI65" t="s" s="352">
        <v>131</v>
      </c>
      <c r="AJ65" t="s" s="252">
        <v>130</v>
      </c>
      <c r="AK65" s="486"/>
      <c r="AL65" s="486"/>
      <c r="AM65" s="486"/>
      <c r="AN65" t="s" s="666">
        <v>115</v>
      </c>
      <c r="AO65" t="s" s="483">
        <v>115</v>
      </c>
      <c r="AP65" t="s" s="484">
        <v>132</v>
      </c>
      <c r="AQ65" s="491"/>
      <c r="AR65" t="s" s="484">
        <v>212</v>
      </c>
      <c r="AS65" t="s" s="483">
        <v>213</v>
      </c>
      <c r="AT65" t="s" s="484">
        <v>214</v>
      </c>
      <c r="AU65" t="s" s="483">
        <v>215</v>
      </c>
      <c r="AV65" t="s" s="484">
        <v>216</v>
      </c>
      <c r="AW65" t="s" s="492">
        <v>217</v>
      </c>
      <c r="AX65" t="s" s="493">
        <v>218</v>
      </c>
      <c r="AY65" s="380"/>
      <c r="AZ65" s="381"/>
      <c r="BA65" t="s" s="218">
        <v>305</v>
      </c>
      <c r="BB65" s="495">
        <v>1</v>
      </c>
      <c r="BC65" s="495">
        <v>2</v>
      </c>
      <c r="BD65" s="495">
        <v>3</v>
      </c>
      <c r="BE65" s="495">
        <v>4</v>
      </c>
      <c r="BF65" s="495">
        <v>5</v>
      </c>
      <c r="BG65" s="495">
        <v>6</v>
      </c>
      <c r="BH65" s="495">
        <v>7</v>
      </c>
      <c r="BI65" s="495">
        <v>8</v>
      </c>
      <c r="BJ65" s="495">
        <v>9</v>
      </c>
      <c r="BK65" s="495">
        <v>10</v>
      </c>
      <c r="BL65" s="495">
        <v>11</v>
      </c>
      <c r="BM65" s="495">
        <v>12</v>
      </c>
      <c r="BN65" s="495">
        <v>13</v>
      </c>
      <c r="BO65" s="495">
        <v>14</v>
      </c>
      <c r="BP65" s="495">
        <v>15</v>
      </c>
      <c r="BQ65" s="495">
        <v>16</v>
      </c>
      <c r="BR65" s="495">
        <v>17</v>
      </c>
      <c r="BS65" s="495">
        <v>18</v>
      </c>
      <c r="BT65" s="495">
        <v>19</v>
      </c>
      <c r="BU65" s="495">
        <v>20</v>
      </c>
      <c r="BV65" t="s" s="496">
        <v>221</v>
      </c>
      <c r="BW65" t="s" s="496">
        <v>222</v>
      </c>
      <c r="BX65" t="s" s="496">
        <v>223</v>
      </c>
    </row>
    <row r="66" ht="15.6" customHeight="1">
      <c r="A66" s="379"/>
      <c r="B66" s="272">
        <v>1</v>
      </c>
      <c r="C66" t="s" s="497">
        <f>IF(D66="","",C11)</f>
      </c>
      <c r="D66" t="s" s="498">
        <f>IF(OR(K11="",K11=0),"",D11)</f>
      </c>
      <c r="E66" t="s" s="499">
        <f>IF(AX66="","",AX66)</f>
      </c>
      <c r="F66" s="500"/>
      <c r="G66" s="275"/>
      <c r="H66" s="718"/>
      <c r="I66" t="s" s="719">
        <f>IF(OR(K11="",K11=0),"",K11)</f>
      </c>
      <c r="J66" t="s" s="720">
        <f>_xlfn.IFERROR(IF(F66="","",VLOOKUP(F66,'10. Condition and Temporal'!$B$6:$F$103,5,FALSE)),"Error ▲")</f>
      </c>
      <c r="K66" s="721"/>
      <c r="L66" t="s" s="505">
        <f>_xlfn.IFERROR(IF(D66="","",IF(AX66="Distinctiveness",(((((I66*AH66*AJ66)-(I66*V66*X66))*(AV66*AT66))+(I66*V66*X66))*AP66/1000),((((I66*AH66*AJ66)-(I66*V66*X66))*(AV66*AR66))+(I66*V66*X66))*AP66/1000)),"This intervention is not permitted within the SSM ▲")</f>
      </c>
      <c r="M66" t="s" s="722">
        <f>_xlfn.IFERROR(IF(F66="","",L66-AD66),"Error ▲")</f>
      </c>
      <c r="N66" s="712"/>
      <c r="O66" s="399"/>
      <c r="P66" s="275"/>
      <c r="Q66" s="380"/>
      <c r="R66" s="219"/>
      <c r="S66" s="381"/>
      <c r="T66" t="s" s="507">
        <f>IF(D66="","",K11)</f>
      </c>
      <c r="U66" t="s" s="508">
        <f>IF($D66="","",T11)</f>
      </c>
      <c r="V66" t="s" s="509">
        <f>IF($D66="","",V11)</f>
      </c>
      <c r="W66" t="s" s="508">
        <f>IF($D66="","",W11)</f>
      </c>
      <c r="X66" t="s" s="291">
        <f>IF($D66="","",X11)</f>
      </c>
      <c r="Y66" s="511"/>
      <c r="Z66" s="511"/>
      <c r="AA66" s="511"/>
      <c r="AB66" t="s" s="291">
        <f>IF($D66="","",AB11)</f>
      </c>
      <c r="AC66" t="s" s="516">
        <f>IF($D66="","",AD11)</f>
      </c>
      <c r="AD66" t="s" s="509">
        <f>IF(AC66="","",(T66*V66*X66)*AC66/1000)</f>
      </c>
      <c r="AE66" t="s" s="507">
        <f>IF(AD66="","",IF(AH66&lt;V66,"Not Acceptable","Acceptable"))</f>
      </c>
      <c r="AF66" t="s" s="507">
        <f>IF(D66="","",I66)</f>
      </c>
      <c r="AG66" t="s" s="508">
        <f>IF(D66="","",VLOOKUP(F66,'9. All Habitats + Multipliers'!$C$4:$K$102,5,FALSE))</f>
      </c>
      <c r="AH66" t="s" s="509">
        <f>IF(AG66="","",VLOOKUP(AG66,'11. Lists'!$S$47:$U$50,2,FALSE))</f>
      </c>
      <c r="AI66" t="s" s="507">
        <f>IF(D66="","",J66)</f>
      </c>
      <c r="AJ66" t="s" s="285">
        <f>IF(AI66="","",VLOOKUP(AI66,'11. Lists'!$F$47:$G$51,2,FALSE))</f>
      </c>
      <c r="AK66" s="511"/>
      <c r="AL66" s="511"/>
      <c r="AM66" s="511"/>
      <c r="AN66" t="s" s="313">
        <f>IF(H66="","",H66)</f>
      </c>
      <c r="AO66" t="s" s="508">
        <f>IF(AN66="","",VLOOKUP(AN66,'11. Lists'!$F$36:$H$38,2,FALSE))</f>
      </c>
      <c r="AP66" t="s" s="509">
        <f>IF(AN66="","",VLOOKUP(AN66,'11. Lists'!$F$36:$H$38,3,FALSE))</f>
      </c>
      <c r="AQ66" t="s" s="508">
        <f>IF(D66="","",IF(AX66="Distinctiveness","N/A",VLOOKUP(F66,'10. Condition and Temporal'!$B$6:$L$103,11,FALSE)))</f>
      </c>
      <c r="AR66" t="s" s="509">
        <f>IF(AQ66="","",IF(AQ66="N/A","1",VLOOKUP(AQ66,'11. Lists'!$I$47:$K$80,3,FALSE)))</f>
      </c>
      <c r="AS66" t="s" s="508">
        <f>IF(D66="","",IF(AX66="Condition","N/A",VLOOKUP(F66,'10. Condition and Temporal'!$B$6:$M$106,12,FALSE)))</f>
      </c>
      <c r="AT66" t="s" s="509">
        <f>IF(AS66="","",IF(AS66="N/A","1",VLOOKUP(AS66,'11. Lists'!$I$47:$K$80,3,FALSE)))</f>
      </c>
      <c r="AU66" t="s" s="508">
        <f>IF(D66="","",VLOOKUP(F66,'9. All Habitats + Multipliers'!$C$4:$K$102,8,FALSE))</f>
      </c>
      <c r="AV66" t="s" s="509">
        <f>IF(AU66="","",VLOOKUP(AU66,'11. Lists'!$J$35:$K$38,2,FALSE))</f>
      </c>
      <c r="AW66" t="s" s="508">
        <f>IF(D66="","",VLOOKUP(D66,'10. Condition and Temporal'!$B$6:$M$103,4,FALSE))</f>
      </c>
      <c r="AX66" t="s" s="509">
        <f>IF(F66="","",IF(D66=F66,"Condition","Distinctiveness"))</f>
      </c>
      <c r="AY66" s="380"/>
      <c r="AZ66" s="723"/>
      <c r="BA66" s="401">
        <v>1</v>
      </c>
      <c r="BB66" t="s" s="291">
        <f>TRIM(MID(SUBSTITUTE($AW$66,$BA$62,REPT(" ",LEN($AW$66))),($BA66-1)*LEN($AW$66)+1,LEN($AW$66)))</f>
      </c>
      <c r="BC66" t="s" s="291">
        <f>TRIM(MID(SUBSTITUTE($AW$67,$BA$62,REPT(" ",LEN($AW$67))),($BA66-1)*LEN($AW$67)+1,LEN($AW$67)))</f>
      </c>
      <c r="BD66" t="s" s="291">
        <f>TRIM(MID(SUBSTITUTE($AW$68,$BA$62,REPT(" ",LEN($AW$68))),($BA66-1)*LEN($AW$68)+1,LEN($AW$68)))</f>
      </c>
      <c r="BE66" t="s" s="291">
        <f>TRIM(MID(SUBSTITUTE($AW$69,$BA$62,REPT(" ",LEN($AW$69))),($BA66-1)*LEN($AW$69)+1,LEN($AW$69)))</f>
      </c>
      <c r="BF66" t="s" s="291">
        <f>TRIM(MID(SUBSTITUTE($AW$70,$BA$62,REPT(" ",LEN($AW$70))),($BA66-1)*LEN($AW$70)+1,LEN($AW$70)))</f>
      </c>
      <c r="BG66" t="s" s="291">
        <f>TRIM(MID(SUBSTITUTE($AW$71,$BA$62,REPT(" ",LEN($AW$71))),($BA66-1)*LEN($AW$71)+1,LEN($AW$71)))</f>
      </c>
      <c r="BH66" t="s" s="291">
        <f>TRIM(MID(SUBSTITUTE($AW$72,$BA$62,REPT(" ",LEN($AW$72))),($BA66-1)*LEN($AW$72)+1,LEN($AW$72)))</f>
      </c>
      <c r="BI66" t="s" s="291">
        <f>TRIM(MID(SUBSTITUTE($AW$73,$BA$62,REPT(" ",LEN($AW$73))),($BA66-1)*LEN($AW$73)+1,LEN($AW$73)))</f>
      </c>
      <c r="BJ66" t="s" s="291">
        <f>TRIM(MID(SUBSTITUTE($AW$74,$BA$62,REPT(" ",LEN($AW$74))),($BA66-1)*LEN($AW$74)+1,LEN($AW$74)))</f>
      </c>
      <c r="BK66" t="s" s="291">
        <f>TRIM(MID(SUBSTITUTE($AW$75,$BA$62,REPT(" ",LEN($AW$75))),($BA66-1)*LEN($AW$75)+1,LEN($AW$75)))</f>
      </c>
      <c r="BL66" t="s" s="291">
        <f>TRIM(MID(SUBSTITUTE($AW$76,$BA$62,REPT(" ",LEN($AW$76))),($BA66-1)*LEN($AW$76)+1,LEN($AW$76)))</f>
      </c>
      <c r="BM66" t="s" s="291">
        <f>TRIM(MID(SUBSTITUTE($AW$77,$BA$62,REPT(" ",LEN($AW$77))),($BA66-1)*LEN($AW$77)+1,LEN($AW$77)))</f>
      </c>
      <c r="BN66" t="s" s="291">
        <f>TRIM(MID(SUBSTITUTE($AW$78,$BA$62,REPT(" ",LEN($AW$78))),($BA66-1)*LEN($AW$78)+1,LEN($AW$78)))</f>
      </c>
      <c r="BO66" t="s" s="291">
        <f>TRIM(MID(SUBSTITUTE($AW$79,$BA$62,REPT(" ",LEN($AW$79))),($BA66-1)*LEN($AW$79)+1,LEN($AW$79)))</f>
      </c>
      <c r="BP66" t="s" s="291">
        <f>TRIM(MID(SUBSTITUTE($AW$80,$BA$62,REPT(" ",LEN($AW$80))),($BA66-1)*LEN($AW$80)+1,LEN($AW$80)))</f>
      </c>
      <c r="BQ66" t="s" s="291">
        <f>TRIM(MID(SUBSTITUTE($AW$81,$BA$62,REPT(" ",LEN($AW$81))),($BA66-1)*LEN($AW$81)+1,LEN($AW$81)))</f>
      </c>
      <c r="BR66" t="s" s="291">
        <f>TRIM(MID(SUBSTITUTE($AW$82,$BA$62,REPT(" ",LEN($AW$82))),($BA66-1)*LEN($AW$82)+1,LEN($AW$82)))</f>
      </c>
      <c r="BS66" t="s" s="291">
        <f>TRIM(MID(SUBSTITUTE($AW$83,$BA$62,REPT(" ",LEN($AW$83))),($BA66-1)*LEN($AW$83)+1,LEN($AW$83)))</f>
      </c>
      <c r="BT66" t="s" s="291">
        <f>TRIM(MID(SUBSTITUTE($AW$84,$BA$62,REPT(" ",LEN($AW$84))),($BA66-1)*LEN($AW$84)+1,LEN($AW$84)))</f>
      </c>
      <c r="BU66" t="s" s="313">
        <f>TRIM(MID(SUBSTITUTE($AW$85,$BA$62,REPT(" ",LEN($AW$85))),($BA66-1)*LEN($AW$85)+1,LEN($AW$85)))</f>
      </c>
      <c r="BV66" t="s" s="285">
        <f>IF(BX66=0,"",CONCATENATE(BW66,"66:",BW66,BX66+65))</f>
      </c>
      <c r="BW66" t="s" s="291">
        <v>224</v>
      </c>
      <c r="BX66" s="518">
        <f>BB64</f>
        <v>0</v>
      </c>
    </row>
    <row r="67" ht="15.6" customHeight="1">
      <c r="A67" s="379"/>
      <c r="B67" s="296">
        <v>2</v>
      </c>
      <c r="C67" t="s" s="519">
        <f>IF(D67="","",C12)</f>
      </c>
      <c r="D67" t="s" s="520">
        <f>IF(OR(K12="",K12=0),"",D12)</f>
      </c>
      <c r="E67" t="s" s="521">
        <f>IF(AX67="","",AX67)</f>
      </c>
      <c r="F67" s="314"/>
      <c r="G67" s="315"/>
      <c r="H67" s="501"/>
      <c r="I67" t="s" s="502">
        <f>IF(OR(K12="",K12=0),"",K12)</f>
      </c>
      <c r="J67" t="s" s="503">
        <f>_xlfn.IFERROR(IF(F67="","",VLOOKUP(F67,'10. Condition and Temporal'!$B$6:$F$103,5,FALSE)),"Error ▲")</f>
      </c>
      <c r="K67" s="504"/>
      <c r="L67" t="s" s="418">
        <f>_xlfn.IFERROR(IF(D67="","",IF(AX67="Distinctiveness",(((((I67*AH67*AJ67)-(I67*V67*X67))*(AV67*AT67))+(I67*V67*X67))*AP67/1000),((((I67*AH67*AJ67)-(I67*V67*X67))*(AV67*AR67))+(I67*V67*X67))*AP67/1000)),"This intervention is not permitted within the SSM ▲")</f>
      </c>
      <c r="M67" t="s" s="724">
        <f>_xlfn.IFERROR(IF(F67="","",L67-AD67),"Error ▲")</f>
      </c>
      <c r="N67" s="700"/>
      <c r="O67" s="415"/>
      <c r="P67" s="315"/>
      <c r="Q67" s="380"/>
      <c r="R67" s="219"/>
      <c r="S67" s="381"/>
      <c r="T67" t="s" s="295">
        <f>IF(D67="","",K12)</f>
      </c>
      <c r="U67" t="s" s="285">
        <f>IF($D67="","",T12)</f>
      </c>
      <c r="V67" t="s" s="313">
        <f>IF($D67="","",V12)</f>
      </c>
      <c r="W67" t="s" s="285">
        <f>IF($D67="","",W12)</f>
      </c>
      <c r="X67" t="s" s="291">
        <f>IF($D67="","",X12)</f>
      </c>
      <c r="Y67" s="511"/>
      <c r="Z67" s="511"/>
      <c r="AA67" s="511"/>
      <c r="AB67" t="s" s="291">
        <f>IF($D67="","",AB12)</f>
      </c>
      <c r="AC67" t="s" s="291">
        <f>IF($D67="","",AD12)</f>
      </c>
      <c r="AD67" t="s" s="313">
        <f>IF(AC67="","",(T67*V67*X67)*AC67/1000)</f>
      </c>
      <c r="AE67" t="s" s="295">
        <f>IF(AD67="","",IF(AH67&lt;V67,"Not Acceptable","Acceptable"))</f>
      </c>
      <c r="AF67" t="s" s="295">
        <f>IF(D67="","",I67)</f>
      </c>
      <c r="AG67" t="s" s="285">
        <f>IF(D67="","",VLOOKUP(F67,'9. All Habitats + Multipliers'!$C$4:$K$102,5,FALSE))</f>
      </c>
      <c r="AH67" t="s" s="313">
        <f>IF(AG67="","",VLOOKUP(AG67,'11. Lists'!$S$47:$U$50,2,FALSE))</f>
      </c>
      <c r="AI67" t="s" s="295">
        <f>IF(D67="","",J67)</f>
      </c>
      <c r="AJ67" t="s" s="285">
        <f>IF(AI67="","",VLOOKUP(AI67,'11. Lists'!$F$47:$G$51,2,FALSE))</f>
      </c>
      <c r="AK67" s="511"/>
      <c r="AL67" s="511"/>
      <c r="AM67" s="511"/>
      <c r="AN67" t="s" s="313">
        <f>IF(H67="","",H67)</f>
      </c>
      <c r="AO67" t="s" s="285">
        <f>IF(AN67="","",VLOOKUP(AN67,'11. Lists'!$F$36:$H$38,2,FALSE))</f>
      </c>
      <c r="AP67" t="s" s="313">
        <f>IF(AN67="","",VLOOKUP(AN67,'11. Lists'!$F$36:$H$38,3,FALSE))</f>
      </c>
      <c r="AQ67" t="s" s="285">
        <f>IF(D67="","",IF(AX67="Distinctiveness","N/A",VLOOKUP(F67,'10. Condition and Temporal'!$B$6:$L$103,11,FALSE)))</f>
      </c>
      <c r="AR67" t="s" s="313">
        <f>IF(AQ67="","",IF(AQ67="N/A","1",VLOOKUP(AQ67,'11. Lists'!$I$47:$K$80,3,FALSE)))</f>
      </c>
      <c r="AS67" t="s" s="285">
        <f>IF(D67="","",IF(AX67="Condition","N/A",VLOOKUP(F67,'10. Condition and Temporal'!$B$6:$M$106,12,FALSE)))</f>
      </c>
      <c r="AT67" t="s" s="313">
        <f>IF(AS67="","",IF(AS67="N/A","1",VLOOKUP(AS67,'11. Lists'!$I$47:$K$80,3,FALSE)))</f>
      </c>
      <c r="AU67" t="s" s="285">
        <f>IF(D67="","",VLOOKUP(F67,'9. All Habitats + Multipliers'!$C$4:$K$102,8,FALSE))</f>
      </c>
      <c r="AV67" t="s" s="313">
        <f>IF(AU67="","",VLOOKUP(AU67,'11. Lists'!$J$35:$K$38,2,FALSE))</f>
      </c>
      <c r="AW67" t="s" s="285">
        <f>IF(D67="","",VLOOKUP(D67,'10. Condition and Temporal'!$B$6:$M$103,4,FALSE))</f>
      </c>
      <c r="AX67" t="s" s="313">
        <f>IF(F67="","",IF(D67=F67,"Condition","Distinctiveness"))</f>
      </c>
      <c r="AY67" s="380"/>
      <c r="AZ67" s="723"/>
      <c r="BA67" s="401">
        <v>2</v>
      </c>
      <c r="BB67" t="s" s="291">
        <f>TRIM(MID(SUBSTITUTE($AW$66,$BA$62,REPT(" ",LEN($AW$66))),($BA67-1)*LEN($AW$66)+1,LEN($AW$66)))</f>
      </c>
      <c r="BC67" t="s" s="291">
        <f>TRIM(MID(SUBSTITUTE($AW$67,$BA$62,REPT(" ",LEN($AW$67))),($BA67-1)*LEN($AW$67)+1,LEN($AW$67)))</f>
      </c>
      <c r="BD67" t="s" s="291">
        <f>TRIM(MID(SUBSTITUTE($AW$68,$BA$62,REPT(" ",LEN($AW$68))),($BA67-1)*LEN($AW$68)+1,LEN($AW$68)))</f>
      </c>
      <c r="BE67" t="s" s="291">
        <f>TRIM(MID(SUBSTITUTE($AW$69,$BA$62,REPT(" ",LEN($AW$69))),($BA67-1)*LEN($AW$69)+1,LEN($AW$69)))</f>
      </c>
      <c r="BF67" t="s" s="291">
        <f>TRIM(MID(SUBSTITUTE($AW$70,$BA$62,REPT(" ",LEN($AW$70))),($BA67-1)*LEN($AW$70)+1,LEN($AW$70)))</f>
      </c>
      <c r="BG67" t="s" s="291">
        <f>TRIM(MID(SUBSTITUTE($AW$71,$BA$62,REPT(" ",LEN($AW$71))),($BA67-1)*LEN($AW$71)+1,LEN($AW$71)))</f>
      </c>
      <c r="BH67" t="s" s="291">
        <f>TRIM(MID(SUBSTITUTE($AW$72,$BA$62,REPT(" ",LEN($AW$72))),($BA67-1)*LEN($AW$72)+1,LEN($AW$72)))</f>
      </c>
      <c r="BI67" t="s" s="291">
        <f>TRIM(MID(SUBSTITUTE($AW$73,$BA$62,REPT(" ",LEN($AW$73))),($BA67-1)*LEN($AW$73)+1,LEN($AW$73)))</f>
      </c>
      <c r="BJ67" t="s" s="291">
        <f>TRIM(MID(SUBSTITUTE($AW$74,$BA$62,REPT(" ",LEN($AW$74))),($BA67-1)*LEN($AW$74)+1,LEN($AW$74)))</f>
      </c>
      <c r="BK67" t="s" s="291">
        <f>TRIM(MID(SUBSTITUTE($AW$75,$BA$62,REPT(" ",LEN($AW$75))),($BA67-1)*LEN($AW$75)+1,LEN($AW$75)))</f>
      </c>
      <c r="BL67" t="s" s="291">
        <f>TRIM(MID(SUBSTITUTE($AW$76,$BA$62,REPT(" ",LEN($AW$76))),($BA67-1)*LEN($AW$76)+1,LEN($AW$76)))</f>
      </c>
      <c r="BM67" t="s" s="291">
        <f>TRIM(MID(SUBSTITUTE($AW$77,$BA$62,REPT(" ",LEN($AW$77))),($BA67-1)*LEN($AW$77)+1,LEN($AW$77)))</f>
      </c>
      <c r="BN67" t="s" s="291">
        <f>TRIM(MID(SUBSTITUTE($AW$78,$BA$62,REPT(" ",LEN($AW$78))),($BA67-1)*LEN($AW$78)+1,LEN($AW$78)))</f>
      </c>
      <c r="BO67" t="s" s="291">
        <f>TRIM(MID(SUBSTITUTE($AW$79,$BA$62,REPT(" ",LEN($AW$79))),($BA67-1)*LEN($AW$79)+1,LEN($AW$79)))</f>
      </c>
      <c r="BP67" t="s" s="291">
        <f>TRIM(MID(SUBSTITUTE($AW$80,$BA$62,REPT(" ",LEN($AW$80))),($BA67-1)*LEN($AW$80)+1,LEN($AW$80)))</f>
      </c>
      <c r="BQ67" t="s" s="291">
        <f>TRIM(MID(SUBSTITUTE($AW$81,$BA$62,REPT(" ",LEN($AW$81))),($BA67-1)*LEN($AW$81)+1,LEN($AW$81)))</f>
      </c>
      <c r="BR67" t="s" s="291">
        <f>TRIM(MID(SUBSTITUTE($AW$82,$BA$62,REPT(" ",LEN($AW$82))),($BA67-1)*LEN($AW$82)+1,LEN($AW$82)))</f>
      </c>
      <c r="BS67" t="s" s="291">
        <f>TRIM(MID(SUBSTITUTE($AW$83,$BA$62,REPT(" ",LEN($AW$83))),($BA67-1)*LEN($AW$83)+1,LEN($AW$83)))</f>
      </c>
      <c r="BT67" t="s" s="291">
        <f>TRIM(MID(SUBSTITUTE($AW$84,$BA$62,REPT(" ",LEN($AW$84))),($BA67-1)*LEN($AW$84)+1,LEN($AW$84)))</f>
      </c>
      <c r="BU67" t="s" s="313">
        <f>TRIM(MID(SUBSTITUTE($AW$85,$BA$62,REPT(" ",LEN($AW$85))),($BA67-1)*LEN($AW$85)+1,LEN($AW$85)))</f>
      </c>
      <c r="BV67" t="s" s="285">
        <f>IF(BX67=0,"",CONCATENATE(BW67,"66:",BW67,BX67+65))</f>
      </c>
      <c r="BW67" t="s" s="291">
        <v>225</v>
      </c>
      <c r="BX67" s="518">
        <f>BC64</f>
        <v>0</v>
      </c>
    </row>
    <row r="68" ht="15.6" customHeight="1">
      <c r="A68" s="379"/>
      <c r="B68" s="296">
        <v>3</v>
      </c>
      <c r="C68" t="s" s="519">
        <f>IF(D68="","",C13)</f>
      </c>
      <c r="D68" t="s" s="520">
        <f>IF(OR(K13="",K13=0),"",D13)</f>
      </c>
      <c r="E68" t="s" s="521">
        <f>IF(AX68="","",AX68)</f>
      </c>
      <c r="F68" s="314"/>
      <c r="G68" s="315"/>
      <c r="H68" s="501"/>
      <c r="I68" t="s" s="502">
        <f>IF(OR(K13="",K13=0),"",K13)</f>
      </c>
      <c r="J68" t="s" s="503">
        <f>_xlfn.IFERROR(IF(F68="","",VLOOKUP(F68,'10. Condition and Temporal'!$B$6:$F$103,5,FALSE)),"Error ▲")</f>
      </c>
      <c r="K68" s="504"/>
      <c r="L68" t="s" s="418">
        <f>_xlfn.IFERROR(IF(D68="","",IF(AX68="Distinctiveness",(((((I68*AH68*AJ68)-(I68*V68*X68))*(AV68*AT68))+(I68*V68*X68))*AP68/1000),((((I68*AH68*AJ68)-(I68*V68*X68))*(AV68*AR68))+(I68*V68*X68))*AP68/1000)),"This intervention is not permitted within the SSM ▲")</f>
      </c>
      <c r="M68" t="s" s="724">
        <f>_xlfn.IFERROR(IF(F68="","",L68-AD68),"Error ▲")</f>
      </c>
      <c r="N68" s="700"/>
      <c r="O68" s="415"/>
      <c r="P68" s="315"/>
      <c r="Q68" s="380"/>
      <c r="R68" s="219"/>
      <c r="S68" s="381"/>
      <c r="T68" t="s" s="295">
        <f>IF(D68="","",K13)</f>
      </c>
      <c r="U68" t="s" s="285">
        <f>IF($D68="","",T13)</f>
      </c>
      <c r="V68" t="s" s="313">
        <f>IF($D68="","",V13)</f>
      </c>
      <c r="W68" t="s" s="285">
        <f>IF($D68="","",W13)</f>
      </c>
      <c r="X68" t="s" s="291">
        <f>IF($D68="","",X13)</f>
      </c>
      <c r="Y68" s="511"/>
      <c r="Z68" s="511"/>
      <c r="AA68" s="511"/>
      <c r="AB68" t="s" s="291">
        <f>IF($D68="","",AB13)</f>
      </c>
      <c r="AC68" t="s" s="291">
        <f>IF($D68="","",AD13)</f>
      </c>
      <c r="AD68" t="s" s="313">
        <f>IF(AC68="","",(T68*V68*X68)*AC68/1000)</f>
      </c>
      <c r="AE68" t="s" s="295">
        <f>IF(AD68="","",IF(AH68&lt;V68,"Not Acceptable","Acceptable"))</f>
      </c>
      <c r="AF68" t="s" s="295">
        <f>IF(D68="","",I68)</f>
      </c>
      <c r="AG68" t="s" s="285">
        <f>IF(D68="","",VLOOKUP(F68,'9. All Habitats + Multipliers'!$C$4:$K$102,5,FALSE))</f>
      </c>
      <c r="AH68" t="s" s="313">
        <f>IF(AG68="","",VLOOKUP(AG68,'11. Lists'!$S$47:$U$50,2,FALSE))</f>
      </c>
      <c r="AI68" t="s" s="295">
        <f>IF(D68="","",J68)</f>
      </c>
      <c r="AJ68" t="s" s="285">
        <f>IF(AI68="","",VLOOKUP(AI68,'11. Lists'!$F$47:$G$51,2,FALSE))</f>
      </c>
      <c r="AK68" s="511"/>
      <c r="AL68" s="511"/>
      <c r="AM68" s="511"/>
      <c r="AN68" t="s" s="313">
        <f>IF(H68="","",H68)</f>
      </c>
      <c r="AO68" t="s" s="285">
        <f>IF(AN68="","",VLOOKUP(AN68,'11. Lists'!$F$36:$H$38,2,FALSE))</f>
      </c>
      <c r="AP68" t="s" s="313">
        <f>IF(AN68="","",VLOOKUP(AN68,'11. Lists'!$F$36:$H$38,3,FALSE))</f>
      </c>
      <c r="AQ68" t="s" s="285">
        <f>IF(D68="","",IF(AX68="Distinctiveness","N/A",VLOOKUP(F68,'10. Condition and Temporal'!$B$6:$L$103,11,FALSE)))</f>
      </c>
      <c r="AR68" t="s" s="313">
        <f>IF(AQ68="","",IF(AQ68="N/A","1",VLOOKUP(AQ68,'11. Lists'!$I$47:$K$80,3,FALSE)))</f>
      </c>
      <c r="AS68" t="s" s="285">
        <f>IF(D68="","",IF(AX68="Condition","N/A",VLOOKUP(F68,'10. Condition and Temporal'!$B$6:$M$106,12,FALSE)))</f>
      </c>
      <c r="AT68" t="s" s="313">
        <f>IF(AS68="","",IF(AS68="N/A","1",VLOOKUP(AS68,'11. Lists'!$I$47:$K$80,3,FALSE)))</f>
      </c>
      <c r="AU68" t="s" s="285">
        <f>IF(D68="","",VLOOKUP(F68,'9. All Habitats + Multipliers'!$C$4:$K$102,8,FALSE))</f>
      </c>
      <c r="AV68" t="s" s="313">
        <f>IF(AU68="","",VLOOKUP(AU68,'11. Lists'!$J$35:$K$38,2,FALSE))</f>
      </c>
      <c r="AW68" t="s" s="285">
        <f>IF(D68="","",VLOOKUP(D68,'10. Condition and Temporal'!$B$6:$M$103,4,FALSE))</f>
      </c>
      <c r="AX68" t="s" s="313">
        <f>IF(F68="","",IF(D68=F68,"Condition","Distinctiveness"))</f>
      </c>
      <c r="AY68" s="380"/>
      <c r="AZ68" s="723"/>
      <c r="BA68" s="401">
        <v>3</v>
      </c>
      <c r="BB68" t="s" s="291">
        <f>TRIM(MID(SUBSTITUTE($AW$66,$BA$62,REPT(" ",LEN($AW$66))),($BA68-1)*LEN($AW$66)+1,LEN($AW$66)))</f>
      </c>
      <c r="BC68" t="s" s="291">
        <f>TRIM(MID(SUBSTITUTE($AW$67,$BA$62,REPT(" ",LEN($AW$67))),($BA68-1)*LEN($AW$67)+1,LEN($AW$67)))</f>
      </c>
      <c r="BD68" t="s" s="291">
        <f>TRIM(MID(SUBSTITUTE($AW$68,$BA$62,REPT(" ",LEN($AW$68))),($BA68-1)*LEN($AW$68)+1,LEN($AW$68)))</f>
      </c>
      <c r="BE68" t="s" s="291">
        <f>TRIM(MID(SUBSTITUTE($AW$69,$BA$62,REPT(" ",LEN($AW$69))),($BA68-1)*LEN($AW$69)+1,LEN($AW$69)))</f>
      </c>
      <c r="BF68" t="s" s="291">
        <f>TRIM(MID(SUBSTITUTE($AW$70,$BA$62,REPT(" ",LEN($AW$70))),($BA68-1)*LEN($AW$70)+1,LEN($AW$70)))</f>
      </c>
      <c r="BG68" t="s" s="291">
        <f>TRIM(MID(SUBSTITUTE($AW$71,$BA$62,REPT(" ",LEN($AW$71))),($BA68-1)*LEN($AW$71)+1,LEN($AW$71)))</f>
      </c>
      <c r="BH68" t="s" s="291">
        <f>TRIM(MID(SUBSTITUTE($AW$72,$BA$62,REPT(" ",LEN($AW$72))),($BA68-1)*LEN($AW$72)+1,LEN($AW$72)))</f>
      </c>
      <c r="BI68" t="s" s="291">
        <f>TRIM(MID(SUBSTITUTE($AW$73,$BA$62,REPT(" ",LEN($AW$73))),($BA68-1)*LEN($AW$73)+1,LEN($AW$73)))</f>
      </c>
      <c r="BJ68" t="s" s="291">
        <f>TRIM(MID(SUBSTITUTE($AW$74,$BA$62,REPT(" ",LEN($AW$74))),($BA68-1)*LEN($AW$74)+1,LEN($AW$74)))</f>
      </c>
      <c r="BK68" t="s" s="291">
        <f>TRIM(MID(SUBSTITUTE($AW$75,$BA$62,REPT(" ",LEN($AW$75))),($BA68-1)*LEN($AW$75)+1,LEN($AW$75)))</f>
      </c>
      <c r="BL68" t="s" s="291">
        <f>TRIM(MID(SUBSTITUTE($AW$76,$BA$62,REPT(" ",LEN($AW$76))),($BA68-1)*LEN($AW$76)+1,LEN($AW$76)))</f>
      </c>
      <c r="BM68" t="s" s="291">
        <f>TRIM(MID(SUBSTITUTE($AW$77,$BA$62,REPT(" ",LEN($AW$77))),($BA68-1)*LEN($AW$77)+1,LEN($AW$77)))</f>
      </c>
      <c r="BN68" t="s" s="291">
        <f>TRIM(MID(SUBSTITUTE($AW$78,$BA$62,REPT(" ",LEN($AW$78))),($BA68-1)*LEN($AW$78)+1,LEN($AW$78)))</f>
      </c>
      <c r="BO68" t="s" s="291">
        <f>TRIM(MID(SUBSTITUTE($AW$79,$BA$62,REPT(" ",LEN($AW$79))),($BA68-1)*LEN($AW$79)+1,LEN($AW$79)))</f>
      </c>
      <c r="BP68" t="s" s="291">
        <f>TRIM(MID(SUBSTITUTE($AW$80,$BA$62,REPT(" ",LEN($AW$80))),($BA68-1)*LEN($AW$80)+1,LEN($AW$80)))</f>
      </c>
      <c r="BQ68" t="s" s="291">
        <f>TRIM(MID(SUBSTITUTE($AW$81,$BA$62,REPT(" ",LEN($AW$81))),($BA68-1)*LEN($AW$81)+1,LEN($AW$81)))</f>
      </c>
      <c r="BR68" t="s" s="291">
        <f>TRIM(MID(SUBSTITUTE($AW$82,$BA$62,REPT(" ",LEN($AW$82))),($BA68-1)*LEN($AW$82)+1,LEN($AW$82)))</f>
      </c>
      <c r="BS68" t="s" s="291">
        <f>TRIM(MID(SUBSTITUTE($AW$83,$BA$62,REPT(" ",LEN($AW$83))),($BA68-1)*LEN($AW$83)+1,LEN($AW$83)))</f>
      </c>
      <c r="BT68" t="s" s="291">
        <f>TRIM(MID(SUBSTITUTE($AW$84,$BA$62,REPT(" ",LEN($AW$84))),($BA68-1)*LEN($AW$84)+1,LEN($AW$84)))</f>
      </c>
      <c r="BU68" t="s" s="313">
        <f>TRIM(MID(SUBSTITUTE($AW$85,$BA$62,REPT(" ",LEN($AW$85))),($BA68-1)*LEN($AW$85)+1,LEN($AW$85)))</f>
      </c>
      <c r="BV68" t="s" s="285">
        <f>IF(BX68=0,"",CONCATENATE(BW68,"66:",BW68,BX68+65))</f>
      </c>
      <c r="BW68" t="s" s="291">
        <v>226</v>
      </c>
      <c r="BX68" s="518">
        <f>BD64</f>
        <v>0</v>
      </c>
    </row>
    <row r="69" ht="15.6" customHeight="1">
      <c r="A69" s="379"/>
      <c r="B69" s="296">
        <v>4</v>
      </c>
      <c r="C69" t="s" s="519">
        <f>IF(D69="","",C14)</f>
      </c>
      <c r="D69" t="s" s="520">
        <f>IF(OR(K14="",K14=0),"",D14)</f>
      </c>
      <c r="E69" t="s" s="521">
        <f>IF(AX69="","",AX69)</f>
      </c>
      <c r="F69" s="314"/>
      <c r="G69" s="315"/>
      <c r="H69" s="501"/>
      <c r="I69" t="s" s="502">
        <f>IF(OR(K14="",K14=0),"",K14)</f>
      </c>
      <c r="J69" t="s" s="503">
        <f>_xlfn.IFERROR(IF(F69="","",VLOOKUP(F69,'10. Condition and Temporal'!$B$6:$F$103,5,FALSE)),"Error ▲")</f>
      </c>
      <c r="K69" s="504"/>
      <c r="L69" t="s" s="418">
        <f>_xlfn.IFERROR(IF(D69="","",IF(AX69="Distinctiveness",(((((I69*AH69*AJ69)-(I69*V69*X69))*(AV69*AT69))+(I69*V69*X69))*AP69/1000),((((I69*AH69*AJ69)-(I69*V69*X69))*(AV69*AR69))+(I69*V69*X69))*AP69/1000)),"This intervention is not permitted within the SSM ▲")</f>
      </c>
      <c r="M69" t="s" s="724">
        <f>_xlfn.IFERROR(IF(F69="","",L69-AD69),"Error ▲")</f>
      </c>
      <c r="N69" s="700"/>
      <c r="O69" s="415"/>
      <c r="P69" s="315"/>
      <c r="Q69" s="380"/>
      <c r="R69" s="219"/>
      <c r="S69" s="381"/>
      <c r="T69" t="s" s="295">
        <f>IF(D69="","",K14)</f>
      </c>
      <c r="U69" t="s" s="285">
        <f>IF($D69="","",T14)</f>
      </c>
      <c r="V69" t="s" s="313">
        <f>IF($D69="","",V14)</f>
      </c>
      <c r="W69" t="s" s="285">
        <f>IF($D69="","",W14)</f>
      </c>
      <c r="X69" t="s" s="291">
        <f>IF($D69="","",X14)</f>
      </c>
      <c r="Y69" s="511"/>
      <c r="Z69" s="511"/>
      <c r="AA69" s="511"/>
      <c r="AB69" t="s" s="291">
        <f>IF($D69="","",AB14)</f>
      </c>
      <c r="AC69" t="s" s="291">
        <f>IF($D69="","",AD14)</f>
      </c>
      <c r="AD69" t="s" s="313">
        <f>IF(AC69="","",(T69*V69*X69)*AC69/1000)</f>
      </c>
      <c r="AE69" t="s" s="295">
        <f>IF(AD69="","",IF(AH69&lt;V69,"Not Acceptable","Acceptable"))</f>
      </c>
      <c r="AF69" t="s" s="295">
        <f>IF(D69="","",I69)</f>
      </c>
      <c r="AG69" t="s" s="285">
        <f>IF(D69="","",VLOOKUP(F69,'9. All Habitats + Multipliers'!$C$4:$K$102,5,FALSE))</f>
      </c>
      <c r="AH69" t="s" s="313">
        <f>IF(AG69="","",VLOOKUP(AG69,'11. Lists'!$S$47:$U$50,2,FALSE))</f>
      </c>
      <c r="AI69" t="s" s="295">
        <f>IF(D69="","",J69)</f>
      </c>
      <c r="AJ69" t="s" s="285">
        <f>IF(AI69="","",VLOOKUP(AI69,'11. Lists'!$F$47:$G$51,2,FALSE))</f>
      </c>
      <c r="AK69" s="511"/>
      <c r="AL69" s="511"/>
      <c r="AM69" s="511"/>
      <c r="AN69" t="s" s="313">
        <f>IF(H69="","",H69)</f>
      </c>
      <c r="AO69" t="s" s="285">
        <f>IF(AN69="","",VLOOKUP(AN69,'11. Lists'!$F$36:$H$38,2,FALSE))</f>
      </c>
      <c r="AP69" t="s" s="313">
        <f>IF(AN69="","",VLOOKUP(AN69,'11. Lists'!$F$36:$H$38,3,FALSE))</f>
      </c>
      <c r="AQ69" t="s" s="285">
        <f>IF(D69="","",IF(AX69="Distinctiveness","N/A",VLOOKUP(F69,'10. Condition and Temporal'!$B$6:$L$103,11,FALSE)))</f>
      </c>
      <c r="AR69" t="s" s="313">
        <f>IF(AQ69="","",IF(AQ69="N/A","1",VLOOKUP(AQ69,'11. Lists'!$I$47:$K$80,3,FALSE)))</f>
      </c>
      <c r="AS69" t="s" s="285">
        <f>IF(D69="","",IF(AX69="Condition","N/A",VLOOKUP(F69,'10. Condition and Temporal'!$B$6:$M$106,12,FALSE)))</f>
      </c>
      <c r="AT69" t="s" s="313">
        <f>IF(AS69="","",IF(AS69="N/A","1",VLOOKUP(AS69,'11. Lists'!$I$47:$K$80,3,FALSE)))</f>
      </c>
      <c r="AU69" t="s" s="285">
        <f>IF(D69="","",VLOOKUP(F69,'9. All Habitats + Multipliers'!$C$4:$K$102,8,FALSE))</f>
      </c>
      <c r="AV69" t="s" s="313">
        <f>IF(AU69="","",VLOOKUP(AU69,'11. Lists'!$J$35:$K$38,2,FALSE))</f>
      </c>
      <c r="AW69" t="s" s="285">
        <f>IF(D69="","",VLOOKUP(D69,'10. Condition and Temporal'!$B$6:$M$103,4,FALSE))</f>
      </c>
      <c r="AX69" t="s" s="313">
        <f>IF(F69="","",IF(D69=F69,"Condition","Distinctiveness"))</f>
      </c>
      <c r="AY69" s="380"/>
      <c r="AZ69" s="723"/>
      <c r="BA69" s="401">
        <v>4</v>
      </c>
      <c r="BB69" t="s" s="291">
        <f>TRIM(MID(SUBSTITUTE($AW$66,$BA$62,REPT(" ",LEN($AW$66))),($BA69-1)*LEN($AW$66)+1,LEN($AW$66)))</f>
      </c>
      <c r="BC69" t="s" s="291">
        <f>TRIM(MID(SUBSTITUTE($AW$67,$BA$62,REPT(" ",LEN($AW$67))),($BA69-1)*LEN($AW$67)+1,LEN($AW$67)))</f>
      </c>
      <c r="BD69" t="s" s="291">
        <f>TRIM(MID(SUBSTITUTE($AW$68,$BA$62,REPT(" ",LEN($AW$68))),($BA69-1)*LEN($AW$68)+1,LEN($AW$68)))</f>
      </c>
      <c r="BE69" t="s" s="291">
        <f>TRIM(MID(SUBSTITUTE($AW$69,$BA$62,REPT(" ",LEN($AW$69))),($BA69-1)*LEN($AW$69)+1,LEN($AW$69)))</f>
      </c>
      <c r="BF69" t="s" s="291">
        <f>TRIM(MID(SUBSTITUTE($AW$70,$BA$62,REPT(" ",LEN($AW$70))),($BA69-1)*LEN($AW$70)+1,LEN($AW$70)))</f>
      </c>
      <c r="BG69" t="s" s="291">
        <f>TRIM(MID(SUBSTITUTE($AW$71,$BA$62,REPT(" ",LEN($AW$71))),($BA69-1)*LEN($AW$71)+1,LEN($AW$71)))</f>
      </c>
      <c r="BH69" t="s" s="291">
        <f>TRIM(MID(SUBSTITUTE($AW$72,$BA$62,REPT(" ",LEN($AW$72))),($BA69-1)*LEN($AW$72)+1,LEN($AW$72)))</f>
      </c>
      <c r="BI69" t="s" s="291">
        <f>TRIM(MID(SUBSTITUTE($AW$73,$BA$62,REPT(" ",LEN($AW$73))),($BA69-1)*LEN($AW$73)+1,LEN($AW$73)))</f>
      </c>
      <c r="BJ69" t="s" s="291">
        <f>TRIM(MID(SUBSTITUTE($AW$74,$BA$62,REPT(" ",LEN($AW$74))),($BA69-1)*LEN($AW$74)+1,LEN($AW$74)))</f>
      </c>
      <c r="BK69" t="s" s="291">
        <f>TRIM(MID(SUBSTITUTE($AW$75,$BA$62,REPT(" ",LEN($AW$75))),($BA69-1)*LEN($AW$75)+1,LEN($AW$75)))</f>
      </c>
      <c r="BL69" t="s" s="291">
        <f>TRIM(MID(SUBSTITUTE($AW$76,$BA$62,REPT(" ",LEN($AW$76))),($BA69-1)*LEN($AW$76)+1,LEN($AW$76)))</f>
      </c>
      <c r="BM69" t="s" s="291">
        <f>TRIM(MID(SUBSTITUTE($AW$77,$BA$62,REPT(" ",LEN($AW$77))),($BA69-1)*LEN($AW$77)+1,LEN($AW$77)))</f>
      </c>
      <c r="BN69" t="s" s="291">
        <f>TRIM(MID(SUBSTITUTE($AW$78,$BA$62,REPT(" ",LEN($AW$78))),($BA69-1)*LEN($AW$78)+1,LEN($AW$78)))</f>
      </c>
      <c r="BO69" t="s" s="291">
        <f>TRIM(MID(SUBSTITUTE($AW$79,$BA$62,REPT(" ",LEN($AW$79))),($BA69-1)*LEN($AW$79)+1,LEN($AW$79)))</f>
      </c>
      <c r="BP69" t="s" s="291">
        <f>TRIM(MID(SUBSTITUTE($AW$80,$BA$62,REPT(" ",LEN($AW$80))),($BA69-1)*LEN($AW$80)+1,LEN($AW$80)))</f>
      </c>
      <c r="BQ69" t="s" s="291">
        <f>TRIM(MID(SUBSTITUTE($AW$81,$BA$62,REPT(" ",LEN($AW$81))),($BA69-1)*LEN($AW$81)+1,LEN($AW$81)))</f>
      </c>
      <c r="BR69" t="s" s="291">
        <f>TRIM(MID(SUBSTITUTE($AW$82,$BA$62,REPT(" ",LEN($AW$82))),($BA69-1)*LEN($AW$82)+1,LEN($AW$82)))</f>
      </c>
      <c r="BS69" t="s" s="291">
        <f>TRIM(MID(SUBSTITUTE($AW$83,$BA$62,REPT(" ",LEN($AW$83))),($BA69-1)*LEN($AW$83)+1,LEN($AW$83)))</f>
      </c>
      <c r="BT69" t="s" s="291">
        <f>TRIM(MID(SUBSTITUTE($AW$84,$BA$62,REPT(" ",LEN($AW$84))),($BA69-1)*LEN($AW$84)+1,LEN($AW$84)))</f>
      </c>
      <c r="BU69" t="s" s="313">
        <f>TRIM(MID(SUBSTITUTE($AW$85,$BA$62,REPT(" ",LEN($AW$85))),($BA69-1)*LEN($AW$85)+1,LEN($AW$85)))</f>
      </c>
      <c r="BV69" t="s" s="285">
        <f>IF(BX69=0,"",CONCATENATE(BW69,"66:",BW69,BX69+65))</f>
      </c>
      <c r="BW69" t="s" s="291">
        <v>227</v>
      </c>
      <c r="BX69" s="518">
        <f>BE64</f>
        <v>0</v>
      </c>
    </row>
    <row r="70" ht="15.6" customHeight="1">
      <c r="A70" s="379"/>
      <c r="B70" s="296">
        <v>5</v>
      </c>
      <c r="C70" t="s" s="519">
        <f>IF(D70="","",C15)</f>
      </c>
      <c r="D70" t="s" s="520">
        <f>IF(OR(K15="",K15=0),"",D15)</f>
      </c>
      <c r="E70" t="s" s="521">
        <f>IF(AX70="","",AX70)</f>
      </c>
      <c r="F70" s="314"/>
      <c r="G70" s="315"/>
      <c r="H70" s="501"/>
      <c r="I70" t="s" s="502">
        <f>IF(OR(K15="",K15=0),"",K15)</f>
      </c>
      <c r="J70" t="s" s="503">
        <f>_xlfn.IFERROR(IF(F70="","",VLOOKUP(F70,'10. Condition and Temporal'!$B$6:$F$103,5,FALSE)),"Error ▲")</f>
      </c>
      <c r="K70" s="504"/>
      <c r="L70" t="s" s="418">
        <f>_xlfn.IFERROR(IF(D70="","",IF(AX70="Distinctiveness",(((((I70*AH70*AJ70)-(I70*V70*X70))*(AV70*AT70))+(I70*V70*X70))*AP70/1000),((((I70*AH70*AJ70)-(I70*V70*X70))*(AV70*AR70))+(I70*V70*X70))*AP70/1000)),"This intervention is not permitted within the SSM ▲")</f>
      </c>
      <c r="M70" t="s" s="724">
        <f>_xlfn.IFERROR(IF(F70="","",L70-AD70),"Error ▲")</f>
      </c>
      <c r="N70" s="700"/>
      <c r="O70" s="415"/>
      <c r="P70" s="315"/>
      <c r="Q70" s="380"/>
      <c r="R70" s="219"/>
      <c r="S70" s="381"/>
      <c r="T70" t="s" s="295">
        <f>IF(D70="","",K15)</f>
      </c>
      <c r="U70" t="s" s="285">
        <f>IF($D70="","",T15)</f>
      </c>
      <c r="V70" t="s" s="313">
        <f>IF($D70="","",V15)</f>
      </c>
      <c r="W70" t="s" s="285">
        <f>IF($D70="","",W15)</f>
      </c>
      <c r="X70" t="s" s="291">
        <f>IF($D70="","",X15)</f>
      </c>
      <c r="Y70" s="511"/>
      <c r="Z70" s="511"/>
      <c r="AA70" s="511"/>
      <c r="AB70" t="s" s="291">
        <f>IF($D70="","",AB15)</f>
      </c>
      <c r="AC70" t="s" s="291">
        <f>IF($D70="","",AD15)</f>
      </c>
      <c r="AD70" t="s" s="313">
        <f>IF(AC70="","",(T70*V70*X70)*AC70/1000)</f>
      </c>
      <c r="AE70" t="s" s="295">
        <f>IF(AD70="","",IF(AH70&lt;V70,"Not Acceptable","Acceptable"))</f>
      </c>
      <c r="AF70" t="s" s="295">
        <f>IF(D70="","",I70)</f>
      </c>
      <c r="AG70" t="s" s="285">
        <f>IF(D70="","",VLOOKUP(F70,'9. All Habitats + Multipliers'!$C$4:$K$102,5,FALSE))</f>
      </c>
      <c r="AH70" t="s" s="313">
        <f>IF(AG70="","",VLOOKUP(AG70,'11. Lists'!$S$47:$U$50,2,FALSE))</f>
      </c>
      <c r="AI70" t="s" s="295">
        <f>IF(D70="","",J70)</f>
      </c>
      <c r="AJ70" t="s" s="285">
        <f>IF(AI70="","",VLOOKUP(AI70,'11. Lists'!$F$47:$G$51,2,FALSE))</f>
      </c>
      <c r="AK70" s="511"/>
      <c r="AL70" s="511"/>
      <c r="AM70" s="511"/>
      <c r="AN70" t="s" s="313">
        <f>IF(H70="","",H70)</f>
      </c>
      <c r="AO70" t="s" s="285">
        <f>IF(AN70="","",VLOOKUP(AN70,'11. Lists'!$F$36:$H$38,2,FALSE))</f>
      </c>
      <c r="AP70" t="s" s="313">
        <f>IF(AN70="","",VLOOKUP(AN70,'11. Lists'!$F$36:$H$38,3,FALSE))</f>
      </c>
      <c r="AQ70" t="s" s="285">
        <f>IF(D70="","",IF(AX70="Distinctiveness","N/A",VLOOKUP(F70,'10. Condition and Temporal'!$B$6:$L$103,11,FALSE)))</f>
      </c>
      <c r="AR70" t="s" s="313">
        <f>IF(AQ70="","",IF(AQ70="N/A","1",VLOOKUP(AQ70,'11. Lists'!$I$47:$K$80,3,FALSE)))</f>
      </c>
      <c r="AS70" t="s" s="285">
        <f>IF(D70="","",IF(AX70="Condition","N/A",VLOOKUP(F70,'10. Condition and Temporal'!$B$6:$M$106,12,FALSE)))</f>
      </c>
      <c r="AT70" t="s" s="313">
        <f>IF(AS70="","",IF(AS70="N/A","1",VLOOKUP(AS70,'11. Lists'!$I$47:$K$80,3,FALSE)))</f>
      </c>
      <c r="AU70" t="s" s="285">
        <f>IF(D70="","",VLOOKUP(F70,'9. All Habitats + Multipliers'!$C$4:$K$102,8,FALSE))</f>
      </c>
      <c r="AV70" t="s" s="313">
        <f>IF(AU70="","",VLOOKUP(AU70,'11. Lists'!$J$35:$K$38,2,FALSE))</f>
      </c>
      <c r="AW70" t="s" s="285">
        <f>IF(D70="","",VLOOKUP(D70,'10. Condition and Temporal'!$B$6:$M$103,4,FALSE))</f>
      </c>
      <c r="AX70" t="s" s="313">
        <f>IF(F70="","",IF(D70=F70,"Condition","Distinctiveness"))</f>
      </c>
      <c r="AY70" s="380"/>
      <c r="AZ70" s="723"/>
      <c r="BA70" s="401">
        <v>5</v>
      </c>
      <c r="BB70" t="s" s="291">
        <f>TRIM(MID(SUBSTITUTE($AW$66,$BA$62,REPT(" ",LEN($AW$66))),($BA70-1)*LEN($AW$66)+1,LEN($AW$66)))</f>
      </c>
      <c r="BC70" t="s" s="291">
        <f>TRIM(MID(SUBSTITUTE($AW$67,$BA$62,REPT(" ",LEN($AW$67))),($BA70-1)*LEN($AW$67)+1,LEN($AW$67)))</f>
      </c>
      <c r="BD70" t="s" s="291">
        <f>TRIM(MID(SUBSTITUTE($AW$68,$BA$62,REPT(" ",LEN($AW$68))),($BA70-1)*LEN($AW$68)+1,LEN($AW$68)))</f>
      </c>
      <c r="BE70" t="s" s="291">
        <f>TRIM(MID(SUBSTITUTE($AW$69,$BA$62,REPT(" ",LEN($AW$69))),($BA70-1)*LEN($AW$69)+1,LEN($AW$69)))</f>
      </c>
      <c r="BF70" t="s" s="291">
        <f>TRIM(MID(SUBSTITUTE($AW$70,$BA$62,REPT(" ",LEN($AW$70))),($BA70-1)*LEN($AW$70)+1,LEN($AW$70)))</f>
      </c>
      <c r="BG70" t="s" s="291">
        <f>TRIM(MID(SUBSTITUTE($AW$71,$BA$62,REPT(" ",LEN($AW$71))),($BA70-1)*LEN($AW$71)+1,LEN($AW$71)))</f>
      </c>
      <c r="BH70" t="s" s="291">
        <f>TRIM(MID(SUBSTITUTE($AW$72,$BA$62,REPT(" ",LEN($AW$72))),($BA70-1)*LEN($AW$72)+1,LEN($AW$72)))</f>
      </c>
      <c r="BI70" t="s" s="291">
        <f>TRIM(MID(SUBSTITUTE($AW$73,$BA$62,REPT(" ",LEN($AW$73))),($BA70-1)*LEN($AW$73)+1,LEN($AW$73)))</f>
      </c>
      <c r="BJ70" t="s" s="291">
        <f>TRIM(MID(SUBSTITUTE($AW$74,$BA$62,REPT(" ",LEN($AW$74))),($BA70-1)*LEN($AW$74)+1,LEN($AW$74)))</f>
      </c>
      <c r="BK70" t="s" s="291">
        <f>TRIM(MID(SUBSTITUTE($AW$75,$BA$62,REPT(" ",LEN($AW$75))),($BA70-1)*LEN($AW$75)+1,LEN($AW$75)))</f>
      </c>
      <c r="BL70" t="s" s="291">
        <f>TRIM(MID(SUBSTITUTE($AW$76,$BA$62,REPT(" ",LEN($AW$76))),($BA70-1)*LEN($AW$76)+1,LEN($AW$76)))</f>
      </c>
      <c r="BM70" t="s" s="291">
        <f>TRIM(MID(SUBSTITUTE($AW$77,$BA$62,REPT(" ",LEN($AW$77))),($BA70-1)*LEN($AW$77)+1,LEN($AW$77)))</f>
      </c>
      <c r="BN70" t="s" s="291">
        <f>TRIM(MID(SUBSTITUTE($AW$78,$BA$62,REPT(" ",LEN($AW$78))),($BA70-1)*LEN($AW$78)+1,LEN($AW$78)))</f>
      </c>
      <c r="BO70" t="s" s="291">
        <f>TRIM(MID(SUBSTITUTE($AW$79,$BA$62,REPT(" ",LEN($AW$79))),($BA70-1)*LEN($AW$79)+1,LEN($AW$79)))</f>
      </c>
      <c r="BP70" t="s" s="291">
        <f>TRIM(MID(SUBSTITUTE($AW$80,$BA$62,REPT(" ",LEN($AW$80))),($BA70-1)*LEN($AW$80)+1,LEN($AW$80)))</f>
      </c>
      <c r="BQ70" t="s" s="291">
        <f>TRIM(MID(SUBSTITUTE($AW$81,$BA$62,REPT(" ",LEN($AW$81))),($BA70-1)*LEN($AW$81)+1,LEN($AW$81)))</f>
      </c>
      <c r="BR70" t="s" s="291">
        <f>TRIM(MID(SUBSTITUTE($AW$82,$BA$62,REPT(" ",LEN($AW$82))),($BA70-1)*LEN($AW$82)+1,LEN($AW$82)))</f>
      </c>
      <c r="BS70" t="s" s="291">
        <f>TRIM(MID(SUBSTITUTE($AW$83,$BA$62,REPT(" ",LEN($AW$83))),($BA70-1)*LEN($AW$83)+1,LEN($AW$83)))</f>
      </c>
      <c r="BT70" t="s" s="291">
        <f>TRIM(MID(SUBSTITUTE($AW$84,$BA$62,REPT(" ",LEN($AW$84))),($BA70-1)*LEN($AW$84)+1,LEN($AW$84)))</f>
      </c>
      <c r="BU70" t="s" s="313">
        <f>TRIM(MID(SUBSTITUTE($AW$85,$BA$62,REPT(" ",LEN($AW$85))),($BA70-1)*LEN($AW$85)+1,LEN($AW$85)))</f>
      </c>
      <c r="BV70" t="s" s="285">
        <f>IF(BX70=0,"",CONCATENATE(BW70,"66:",BW70,BX70+65))</f>
      </c>
      <c r="BW70" t="s" s="291">
        <v>228</v>
      </c>
      <c r="BX70" s="518">
        <f>BF64</f>
        <v>0</v>
      </c>
    </row>
    <row r="71" ht="15.6" customHeight="1">
      <c r="A71" s="379"/>
      <c r="B71" s="296">
        <v>6</v>
      </c>
      <c r="C71" t="s" s="519">
        <f>IF(D71="","",C16)</f>
      </c>
      <c r="D71" t="s" s="520">
        <f>IF(OR(K16="",K16=0),"",D16)</f>
      </c>
      <c r="E71" t="s" s="521">
        <f>IF(AX71="","",AX71)</f>
      </c>
      <c r="F71" s="314"/>
      <c r="G71" s="315"/>
      <c r="H71" s="501"/>
      <c r="I71" t="s" s="502">
        <f>IF(OR(K16="",K16=0),"",K16)</f>
      </c>
      <c r="J71" t="s" s="503">
        <f>_xlfn.IFERROR(IF(F71="","",VLOOKUP(F71,'10. Condition and Temporal'!$B$6:$F$103,5,FALSE)),"Error ▲")</f>
      </c>
      <c r="K71" s="504"/>
      <c r="L71" t="s" s="418">
        <f>_xlfn.IFERROR(IF(D71="","",IF(AX71="Distinctiveness",(((((I71*AH71*AJ71)-(I71*V71*X71))*(AV71*AT71))+(I71*V71*X71))*AP71/1000),((((I71*AH71*AJ71)-(I71*V71*X71))*(AV71*AR71))+(I71*V71*X71))*AP71/1000)),"This intervention is not permitted within the SSM ▲")</f>
      </c>
      <c r="M71" t="s" s="724">
        <f>_xlfn.IFERROR(IF(F71="","",L71-AD71),"Error ▲")</f>
      </c>
      <c r="N71" s="700"/>
      <c r="O71" s="415"/>
      <c r="P71" s="315"/>
      <c r="Q71" s="380"/>
      <c r="R71" s="219"/>
      <c r="S71" s="381"/>
      <c r="T71" t="s" s="295">
        <f>IF(D71="","",K16)</f>
      </c>
      <c r="U71" t="s" s="285">
        <f>IF($D71="","",T16)</f>
      </c>
      <c r="V71" t="s" s="313">
        <f>IF($D71="","",V16)</f>
      </c>
      <c r="W71" t="s" s="285">
        <f>IF($D71="","",W16)</f>
      </c>
      <c r="X71" t="s" s="291">
        <f>IF($D71="","",X16)</f>
      </c>
      <c r="Y71" s="511"/>
      <c r="Z71" s="511"/>
      <c r="AA71" s="511"/>
      <c r="AB71" t="s" s="291">
        <f>IF($D71="","",AB16)</f>
      </c>
      <c r="AC71" t="s" s="291">
        <f>IF($D71="","",AD16)</f>
      </c>
      <c r="AD71" t="s" s="313">
        <f>IF(AC71="","",(T71*V71*X71)*AC71/1000)</f>
      </c>
      <c r="AE71" t="s" s="295">
        <f>IF(AD71="","",IF(AH71&lt;V71,"Not Acceptable","Acceptable"))</f>
      </c>
      <c r="AF71" t="s" s="295">
        <f>IF(D71="","",I71)</f>
      </c>
      <c r="AG71" t="s" s="285">
        <f>IF(D71="","",VLOOKUP(F71,'9. All Habitats + Multipliers'!$C$4:$K$102,5,FALSE))</f>
      </c>
      <c r="AH71" t="s" s="313">
        <f>IF(AG71="","",VLOOKUP(AG71,'11. Lists'!$S$47:$U$50,2,FALSE))</f>
      </c>
      <c r="AI71" t="s" s="295">
        <f>IF(D71="","",J71)</f>
      </c>
      <c r="AJ71" t="s" s="285">
        <f>IF(AI71="","",VLOOKUP(AI71,'11. Lists'!$F$47:$G$51,2,FALSE))</f>
      </c>
      <c r="AK71" s="511"/>
      <c r="AL71" s="511"/>
      <c r="AM71" s="511"/>
      <c r="AN71" t="s" s="313">
        <f>IF(H71="","",H71)</f>
      </c>
      <c r="AO71" t="s" s="285">
        <f>IF(AN71="","",VLOOKUP(AN71,'11. Lists'!$F$36:$H$38,2,FALSE))</f>
      </c>
      <c r="AP71" t="s" s="313">
        <f>IF(AN71="","",VLOOKUP(AN71,'11. Lists'!$F$36:$H$38,3,FALSE))</f>
      </c>
      <c r="AQ71" t="s" s="285">
        <f>IF(D71="","",IF(AX71="Distinctiveness","N/A",VLOOKUP(F71,'10. Condition and Temporal'!$B$6:$L$103,11,FALSE)))</f>
      </c>
      <c r="AR71" t="s" s="313">
        <f>IF(AQ71="","",IF(AQ71="N/A","1",VLOOKUP(AQ71,'11. Lists'!$I$47:$K$80,3,FALSE)))</f>
      </c>
      <c r="AS71" t="s" s="285">
        <f>IF(D71="","",IF(AX71="Condition","N/A",VLOOKUP(F71,'10. Condition and Temporal'!$B$6:$M$106,12,FALSE)))</f>
      </c>
      <c r="AT71" t="s" s="313">
        <f>IF(AS71="","",IF(AS71="N/A","1",VLOOKUP(AS71,'11. Lists'!$I$47:$K$80,3,FALSE)))</f>
      </c>
      <c r="AU71" t="s" s="285">
        <f>IF(D71="","",VLOOKUP(F71,'9. All Habitats + Multipliers'!$C$4:$K$102,8,FALSE))</f>
      </c>
      <c r="AV71" t="s" s="313">
        <f>IF(AU71="","",VLOOKUP(AU71,'11. Lists'!$J$35:$K$38,2,FALSE))</f>
      </c>
      <c r="AW71" t="s" s="285">
        <f>IF(D71="","",VLOOKUP(D71,'10. Condition and Temporal'!$B$6:$M$103,4,FALSE))</f>
      </c>
      <c r="AX71" t="s" s="313">
        <f>IF(F71="","",IF(D71=F71,"Condition","Distinctiveness"))</f>
      </c>
      <c r="AY71" s="380"/>
      <c r="AZ71" s="723"/>
      <c r="BA71" s="401">
        <v>6</v>
      </c>
      <c r="BB71" t="s" s="291">
        <f>TRIM(MID(SUBSTITUTE($AW$66,$BA$62,REPT(" ",LEN($AW$66))),($BA71-1)*LEN($AW$66)+1,LEN($AW$66)))</f>
      </c>
      <c r="BC71" t="s" s="291">
        <f>TRIM(MID(SUBSTITUTE($AW$67,$BA$62,REPT(" ",LEN($AW$67))),($BA71-1)*LEN($AW$67)+1,LEN($AW$67)))</f>
      </c>
      <c r="BD71" t="s" s="291">
        <f>TRIM(MID(SUBSTITUTE($AW$68,$BA$62,REPT(" ",LEN($AW$68))),($BA71-1)*LEN($AW$68)+1,LEN($AW$68)))</f>
      </c>
      <c r="BE71" t="s" s="291">
        <f>TRIM(MID(SUBSTITUTE($AW$69,$BA$62,REPT(" ",LEN($AW$69))),($BA71-1)*LEN($AW$69)+1,LEN($AW$69)))</f>
      </c>
      <c r="BF71" t="s" s="291">
        <f>TRIM(MID(SUBSTITUTE($AW$70,$BA$62,REPT(" ",LEN($AW$70))),($BA71-1)*LEN($AW$70)+1,LEN($AW$70)))</f>
      </c>
      <c r="BG71" t="s" s="291">
        <f>TRIM(MID(SUBSTITUTE($AW$71,$BA$62,REPT(" ",LEN($AW$71))),($BA71-1)*LEN($AW$71)+1,LEN($AW$71)))</f>
      </c>
      <c r="BH71" t="s" s="291">
        <f>TRIM(MID(SUBSTITUTE($AW$72,$BA$62,REPT(" ",LEN($AW$72))),($BA71-1)*LEN($AW$72)+1,LEN($AW$72)))</f>
      </c>
      <c r="BI71" t="s" s="291">
        <f>TRIM(MID(SUBSTITUTE($AW$73,$BA$62,REPT(" ",LEN($AW$73))),($BA71-1)*LEN($AW$73)+1,LEN($AW$73)))</f>
      </c>
      <c r="BJ71" t="s" s="291">
        <f>TRIM(MID(SUBSTITUTE($AW$74,$BA$62,REPT(" ",LEN($AW$74))),($BA71-1)*LEN($AW$74)+1,LEN($AW$74)))</f>
      </c>
      <c r="BK71" t="s" s="291">
        <f>TRIM(MID(SUBSTITUTE($AW$75,$BA$62,REPT(" ",LEN($AW$75))),($BA71-1)*LEN($AW$75)+1,LEN($AW$75)))</f>
      </c>
      <c r="BL71" t="s" s="291">
        <f>TRIM(MID(SUBSTITUTE($AW$76,$BA$62,REPT(" ",LEN($AW$76))),($BA71-1)*LEN($AW$76)+1,LEN($AW$76)))</f>
      </c>
      <c r="BM71" t="s" s="291">
        <f>TRIM(MID(SUBSTITUTE($AW$77,$BA$62,REPT(" ",LEN($AW$77))),($BA71-1)*LEN($AW$77)+1,LEN($AW$77)))</f>
      </c>
      <c r="BN71" t="s" s="291">
        <f>TRIM(MID(SUBSTITUTE($AW$78,$BA$62,REPT(" ",LEN($AW$78))),($BA71-1)*LEN($AW$78)+1,LEN($AW$78)))</f>
      </c>
      <c r="BO71" t="s" s="291">
        <f>TRIM(MID(SUBSTITUTE($AW$79,$BA$62,REPT(" ",LEN($AW$79))),($BA71-1)*LEN($AW$79)+1,LEN($AW$79)))</f>
      </c>
      <c r="BP71" t="s" s="291">
        <f>TRIM(MID(SUBSTITUTE($AW$80,$BA$62,REPT(" ",LEN($AW$80))),($BA71-1)*LEN($AW$80)+1,LEN($AW$80)))</f>
      </c>
      <c r="BQ71" t="s" s="291">
        <f>TRIM(MID(SUBSTITUTE($AW$81,$BA$62,REPT(" ",LEN($AW$81))),($BA71-1)*LEN($AW$81)+1,LEN($AW$81)))</f>
      </c>
      <c r="BR71" t="s" s="291">
        <f>TRIM(MID(SUBSTITUTE($AW$82,$BA$62,REPT(" ",LEN($AW$82))),($BA71-1)*LEN($AW$82)+1,LEN($AW$82)))</f>
      </c>
      <c r="BS71" t="s" s="291">
        <f>TRIM(MID(SUBSTITUTE($AW$83,$BA$62,REPT(" ",LEN($AW$83))),($BA71-1)*LEN($AW$83)+1,LEN($AW$83)))</f>
      </c>
      <c r="BT71" t="s" s="291">
        <f>TRIM(MID(SUBSTITUTE($AW$84,$BA$62,REPT(" ",LEN($AW$84))),($BA71-1)*LEN($AW$84)+1,LEN($AW$84)))</f>
      </c>
      <c r="BU71" t="s" s="313">
        <f>TRIM(MID(SUBSTITUTE($AW$85,$BA$62,REPT(" ",LEN($AW$85))),($BA71-1)*LEN($AW$85)+1,LEN($AW$85)))</f>
      </c>
      <c r="BV71" t="s" s="285">
        <f>IF(BX71=0,"",CONCATENATE(BW71,"66:",BW71,BX71+65))</f>
      </c>
      <c r="BW71" t="s" s="291">
        <v>229</v>
      </c>
      <c r="BX71" s="518">
        <f>BG64</f>
        <v>0</v>
      </c>
    </row>
    <row r="72" ht="15.6" customHeight="1">
      <c r="A72" s="379"/>
      <c r="B72" s="296">
        <v>7</v>
      </c>
      <c r="C72" t="s" s="519">
        <f>IF(D72="","",C17)</f>
      </c>
      <c r="D72" t="s" s="520">
        <f>IF(OR(K17="",K17=0),"",D17)</f>
      </c>
      <c r="E72" t="s" s="521">
        <f>IF(AX72="","",AX72)</f>
      </c>
      <c r="F72" s="314"/>
      <c r="G72" s="315"/>
      <c r="H72" s="501"/>
      <c r="I72" t="s" s="502">
        <f>IF(OR(K17="",K17=0),"",K17)</f>
      </c>
      <c r="J72" t="s" s="503">
        <f>_xlfn.IFERROR(IF(F72="","",VLOOKUP(F72,'10. Condition and Temporal'!$B$6:$F$103,5,FALSE)),"Error ▲")</f>
      </c>
      <c r="K72" s="504"/>
      <c r="L72" t="s" s="418">
        <f>_xlfn.IFERROR(IF(D72="","",IF(AX72="Distinctiveness",(((((I72*AH72*AJ72)-(I72*V72*X72))*(AV72*AT72))+(I72*V72*X72))*AP72/1000),((((I72*AH72*AJ72)-(I72*V72*X72))*(AV72*AR72))+(I72*V72*X72))*AP72/1000)),"This intervention is not permitted within the SSM ▲")</f>
      </c>
      <c r="M72" t="s" s="724">
        <f>_xlfn.IFERROR(IF(F72="","",L72-AD72),"Error ▲")</f>
      </c>
      <c r="N72" s="700"/>
      <c r="O72" s="415"/>
      <c r="P72" s="315"/>
      <c r="Q72" s="380"/>
      <c r="R72" s="219"/>
      <c r="S72" s="381"/>
      <c r="T72" t="s" s="295">
        <f>IF(D72="","",K17)</f>
      </c>
      <c r="U72" t="s" s="285">
        <f>IF($D72="","",T17)</f>
      </c>
      <c r="V72" t="s" s="313">
        <f>IF($D72="","",V17)</f>
      </c>
      <c r="W72" t="s" s="285">
        <f>IF($D72="","",W17)</f>
      </c>
      <c r="X72" t="s" s="291">
        <f>IF($D72="","",X17)</f>
      </c>
      <c r="Y72" s="511"/>
      <c r="Z72" s="511"/>
      <c r="AA72" s="511"/>
      <c r="AB72" t="s" s="291">
        <f>IF($D72="","",AB17)</f>
      </c>
      <c r="AC72" t="s" s="291">
        <f>IF($D72="","",AD17)</f>
      </c>
      <c r="AD72" t="s" s="313">
        <f>IF(AC72="","",(T72*V72*X72)*AC72/1000)</f>
      </c>
      <c r="AE72" t="s" s="295">
        <f>IF(AD72="","",IF(AH72&lt;V72,"Not Acceptable","Acceptable"))</f>
      </c>
      <c r="AF72" t="s" s="295">
        <f>IF(D72="","",I72)</f>
      </c>
      <c r="AG72" t="s" s="285">
        <f>IF(D72="","",VLOOKUP(F72,'9. All Habitats + Multipliers'!$C$4:$K$102,5,FALSE))</f>
      </c>
      <c r="AH72" t="s" s="313">
        <f>IF(AG72="","",VLOOKUP(AG72,'11. Lists'!$S$47:$U$50,2,FALSE))</f>
      </c>
      <c r="AI72" t="s" s="295">
        <f>IF(D72="","",J72)</f>
      </c>
      <c r="AJ72" t="s" s="285">
        <f>IF(AI72="","",VLOOKUP(AI72,'11. Lists'!$F$47:$G$51,2,FALSE))</f>
      </c>
      <c r="AK72" s="511"/>
      <c r="AL72" s="511"/>
      <c r="AM72" s="511"/>
      <c r="AN72" t="s" s="313">
        <f>IF(H72="","",H72)</f>
      </c>
      <c r="AO72" t="s" s="285">
        <f>IF(AN72="","",VLOOKUP(AN72,'11. Lists'!$F$36:$H$38,2,FALSE))</f>
      </c>
      <c r="AP72" t="s" s="313">
        <f>IF(AN72="","",VLOOKUP(AN72,'11. Lists'!$F$36:$H$38,3,FALSE))</f>
      </c>
      <c r="AQ72" t="s" s="285">
        <f>IF(D72="","",IF(AX72="Distinctiveness","N/A",VLOOKUP(F72,'10. Condition and Temporal'!$B$6:$L$103,11,FALSE)))</f>
      </c>
      <c r="AR72" t="s" s="313">
        <f>IF(AQ72="","",IF(AQ72="N/A","1",VLOOKUP(AQ72,'11. Lists'!$I$47:$K$80,3,FALSE)))</f>
      </c>
      <c r="AS72" t="s" s="285">
        <f>IF(D72="","",IF(AX72="Condition","N/A",VLOOKUP(F72,'10. Condition and Temporal'!$B$6:$M$106,12,FALSE)))</f>
      </c>
      <c r="AT72" t="s" s="313">
        <f>IF(AS72="","",IF(AS72="N/A","1",VLOOKUP(AS72,'11. Lists'!$I$47:$K$80,3,FALSE)))</f>
      </c>
      <c r="AU72" t="s" s="285">
        <f>IF(D72="","",VLOOKUP(F72,'9. All Habitats + Multipliers'!$C$4:$K$102,8,FALSE))</f>
      </c>
      <c r="AV72" t="s" s="313">
        <f>IF(AU72="","",VLOOKUP(AU72,'11. Lists'!$J$35:$K$38,2,FALSE))</f>
      </c>
      <c r="AW72" t="s" s="285">
        <f>IF(D72="","",VLOOKUP(D72,'10. Condition and Temporal'!$B$6:$M$103,4,FALSE))</f>
      </c>
      <c r="AX72" t="s" s="313">
        <f>IF(F72="","",IF(D72=F72,"Condition","Distinctiveness"))</f>
      </c>
      <c r="AY72" s="380"/>
      <c r="AZ72" s="723"/>
      <c r="BA72" s="401">
        <v>7</v>
      </c>
      <c r="BB72" t="s" s="291">
        <f>TRIM(MID(SUBSTITUTE($AW$66,$BA$62,REPT(" ",LEN($AW$66))),($BA72-1)*LEN($AW$66)+1,LEN($AW$66)))</f>
      </c>
      <c r="BC72" t="s" s="291">
        <f>TRIM(MID(SUBSTITUTE($AW$67,$BA$62,REPT(" ",LEN($AW$67))),($BA72-1)*LEN($AW$67)+1,LEN($AW$67)))</f>
      </c>
      <c r="BD72" t="s" s="291">
        <f>TRIM(MID(SUBSTITUTE($AW$68,$BA$62,REPT(" ",LEN($AW$68))),($BA72-1)*LEN($AW$68)+1,LEN($AW$68)))</f>
      </c>
      <c r="BE72" t="s" s="291">
        <f>TRIM(MID(SUBSTITUTE($AW$69,$BA$62,REPT(" ",LEN($AW$69))),($BA72-1)*LEN($AW$69)+1,LEN($AW$69)))</f>
      </c>
      <c r="BF72" t="s" s="291">
        <f>TRIM(MID(SUBSTITUTE($AW$70,$BA$62,REPT(" ",LEN($AW$70))),($BA72-1)*LEN($AW$70)+1,LEN($AW$70)))</f>
      </c>
      <c r="BG72" t="s" s="291">
        <f>TRIM(MID(SUBSTITUTE($AW$71,$BA$62,REPT(" ",LEN($AW$71))),($BA72-1)*LEN($AW$71)+1,LEN($AW$71)))</f>
      </c>
      <c r="BH72" t="s" s="291">
        <f>TRIM(MID(SUBSTITUTE($AW$72,$BA$62,REPT(" ",LEN($AW$72))),($BA72-1)*LEN($AW$72)+1,LEN($AW$72)))</f>
      </c>
      <c r="BI72" t="s" s="291">
        <f>TRIM(MID(SUBSTITUTE($AW$73,$BA$62,REPT(" ",LEN($AW$73))),($BA72-1)*LEN($AW$73)+1,LEN($AW$73)))</f>
      </c>
      <c r="BJ72" t="s" s="291">
        <f>TRIM(MID(SUBSTITUTE($AW$74,$BA$62,REPT(" ",LEN($AW$74))),($BA72-1)*LEN($AW$74)+1,LEN($AW$74)))</f>
      </c>
      <c r="BK72" t="s" s="291">
        <f>TRIM(MID(SUBSTITUTE($AW$75,$BA$62,REPT(" ",LEN($AW$75))),($BA72-1)*LEN($AW$75)+1,LEN($AW$75)))</f>
      </c>
      <c r="BL72" t="s" s="291">
        <f>TRIM(MID(SUBSTITUTE($AW$76,$BA$62,REPT(" ",LEN($AW$76))),($BA72-1)*LEN($AW$76)+1,LEN($AW$76)))</f>
      </c>
      <c r="BM72" t="s" s="291">
        <f>TRIM(MID(SUBSTITUTE($AW$77,$BA$62,REPT(" ",LEN($AW$77))),($BA72-1)*LEN($AW$77)+1,LEN($AW$77)))</f>
      </c>
      <c r="BN72" t="s" s="291">
        <f>TRIM(MID(SUBSTITUTE($AW$78,$BA$62,REPT(" ",LEN($AW$78))),($BA72-1)*LEN($AW$78)+1,LEN($AW$78)))</f>
      </c>
      <c r="BO72" t="s" s="291">
        <f>TRIM(MID(SUBSTITUTE($AW$79,$BA$62,REPT(" ",LEN($AW$79))),($BA72-1)*LEN($AW$79)+1,LEN($AW$79)))</f>
      </c>
      <c r="BP72" t="s" s="291">
        <f>TRIM(MID(SUBSTITUTE($AW$80,$BA$62,REPT(" ",LEN($AW$80))),($BA72-1)*LEN($AW$80)+1,LEN($AW$80)))</f>
      </c>
      <c r="BQ72" t="s" s="291">
        <f>TRIM(MID(SUBSTITUTE($AW$81,$BA$62,REPT(" ",LEN($AW$81))),($BA72-1)*LEN($AW$81)+1,LEN($AW$81)))</f>
      </c>
      <c r="BR72" t="s" s="291">
        <f>TRIM(MID(SUBSTITUTE($AW$82,$BA$62,REPT(" ",LEN($AW$82))),($BA72-1)*LEN($AW$82)+1,LEN($AW$82)))</f>
      </c>
      <c r="BS72" t="s" s="291">
        <f>TRIM(MID(SUBSTITUTE($AW$83,$BA$62,REPT(" ",LEN($AW$83))),($BA72-1)*LEN($AW$83)+1,LEN($AW$83)))</f>
      </c>
      <c r="BT72" t="s" s="291">
        <f>TRIM(MID(SUBSTITUTE($AW$84,$BA$62,REPT(" ",LEN($AW$84))),($BA72-1)*LEN($AW$84)+1,LEN($AW$84)))</f>
      </c>
      <c r="BU72" t="s" s="313">
        <f>TRIM(MID(SUBSTITUTE($AW$85,$BA$62,REPT(" ",LEN($AW$85))),($BA72-1)*LEN($AW$85)+1,LEN($AW$85)))</f>
      </c>
      <c r="BV72" t="s" s="285">
        <f>IF(BX72=0,"",CONCATENATE(BW72,"66:",BW72,BX72+65))</f>
      </c>
      <c r="BW72" t="s" s="291">
        <v>230</v>
      </c>
      <c r="BX72" s="518">
        <f>BH64</f>
        <v>0</v>
      </c>
    </row>
    <row r="73" ht="15.6" customHeight="1">
      <c r="A73" s="379"/>
      <c r="B73" s="296">
        <v>8</v>
      </c>
      <c r="C73" t="s" s="519">
        <f>IF(D73="","",C18)</f>
      </c>
      <c r="D73" t="s" s="520">
        <f>IF(OR(K18="",K18=0),"",D18)</f>
      </c>
      <c r="E73" t="s" s="521">
        <f>IF(AX73="","",AX73)</f>
      </c>
      <c r="F73" s="314"/>
      <c r="G73" s="315"/>
      <c r="H73" s="501"/>
      <c r="I73" t="s" s="502">
        <f>IF(OR(K18="",K18=0),"",K18)</f>
      </c>
      <c r="J73" t="s" s="503">
        <f>_xlfn.IFERROR(IF(F73="","",VLOOKUP(F73,'10. Condition and Temporal'!$B$6:$F$103,5,FALSE)),"Error ▲")</f>
      </c>
      <c r="K73" s="504"/>
      <c r="L73" t="s" s="418">
        <f>_xlfn.IFERROR(IF(D73="","",IF(AX73="Distinctiveness",(((((I73*AH73*AJ73)-(I73*V73*X73))*(AV73*AT73))+(I73*V73*X73))*AP73/1000),((((I73*AH73*AJ73)-(I73*V73*X73))*(AV73*AR73))+(I73*V73*X73))*AP73/1000)),"This intervention is not permitted within the SSM ▲")</f>
      </c>
      <c r="M73" t="s" s="724">
        <f>_xlfn.IFERROR(IF(F73="","",L73-AD73),"Error ▲")</f>
      </c>
      <c r="N73" s="700"/>
      <c r="O73" s="415"/>
      <c r="P73" s="315"/>
      <c r="Q73" s="380"/>
      <c r="R73" s="219"/>
      <c r="S73" s="381"/>
      <c r="T73" t="s" s="295">
        <f>IF(D73="","",K18)</f>
      </c>
      <c r="U73" t="s" s="285">
        <f>IF($D73="","",T18)</f>
      </c>
      <c r="V73" t="s" s="313">
        <f>IF($D73="","",V18)</f>
      </c>
      <c r="W73" t="s" s="285">
        <f>IF($D73="","",W18)</f>
      </c>
      <c r="X73" t="s" s="291">
        <f>IF($D73="","",X18)</f>
      </c>
      <c r="Y73" s="511"/>
      <c r="Z73" s="511"/>
      <c r="AA73" s="511"/>
      <c r="AB73" t="s" s="291">
        <f>IF($D73="","",AB18)</f>
      </c>
      <c r="AC73" t="s" s="291">
        <f>IF($D73="","",AD18)</f>
      </c>
      <c r="AD73" t="s" s="313">
        <f>IF(AC73="","",(T73*V73*X73)*AC73/1000)</f>
      </c>
      <c r="AE73" t="s" s="295">
        <f>IF(AD73="","",IF(AH73&lt;V73,"Not Acceptable","Acceptable"))</f>
      </c>
      <c r="AF73" t="s" s="295">
        <f>IF(D73="","",I73)</f>
      </c>
      <c r="AG73" t="s" s="285">
        <f>IF(D73="","",VLOOKUP(F73,'9. All Habitats + Multipliers'!$C$4:$K$102,5,FALSE))</f>
      </c>
      <c r="AH73" t="s" s="313">
        <f>IF(AG73="","",VLOOKUP(AG73,'11. Lists'!$S$47:$U$50,2,FALSE))</f>
      </c>
      <c r="AI73" t="s" s="295">
        <f>IF(D73="","",J73)</f>
      </c>
      <c r="AJ73" t="s" s="285">
        <f>IF(AI73="","",VLOOKUP(AI73,'11. Lists'!$F$47:$G$51,2,FALSE))</f>
      </c>
      <c r="AK73" s="511"/>
      <c r="AL73" s="511"/>
      <c r="AM73" s="511"/>
      <c r="AN73" t="s" s="313">
        <f>IF(H73="","",H73)</f>
      </c>
      <c r="AO73" t="s" s="285">
        <f>IF(AN73="","",VLOOKUP(AN73,'11. Lists'!$F$36:$H$38,2,FALSE))</f>
      </c>
      <c r="AP73" t="s" s="313">
        <f>IF(AN73="","",VLOOKUP(AN73,'11. Lists'!$F$36:$H$38,3,FALSE))</f>
      </c>
      <c r="AQ73" t="s" s="285">
        <f>IF(D73="","",IF(AX73="Distinctiveness","N/A",VLOOKUP(F73,'10. Condition and Temporal'!$B$6:$L$103,11,FALSE)))</f>
      </c>
      <c r="AR73" t="s" s="313">
        <f>IF(AQ73="","",IF(AQ73="N/A","1",VLOOKUP(AQ73,'11. Lists'!$I$47:$K$80,3,FALSE)))</f>
      </c>
      <c r="AS73" t="s" s="285">
        <f>IF(D73="","",IF(AX73="Condition","N/A",VLOOKUP(F73,'10. Condition and Temporal'!$B$6:$M$106,12,FALSE)))</f>
      </c>
      <c r="AT73" t="s" s="313">
        <f>IF(AS73="","",IF(AS73="N/A","1",VLOOKUP(AS73,'11. Lists'!$I$47:$K$80,3,FALSE)))</f>
      </c>
      <c r="AU73" t="s" s="285">
        <f>IF(D73="","",VLOOKUP(F73,'9. All Habitats + Multipliers'!$C$4:$K$102,8,FALSE))</f>
      </c>
      <c r="AV73" t="s" s="313">
        <f>IF(AU73="","",VLOOKUP(AU73,'11. Lists'!$J$35:$K$38,2,FALSE))</f>
      </c>
      <c r="AW73" t="s" s="285">
        <f>IF(D73="","",VLOOKUP(D73,'10. Condition and Temporal'!$B$6:$M$103,4,FALSE))</f>
      </c>
      <c r="AX73" t="s" s="313">
        <f>IF(F73="","",IF(D73=F73,"Condition","Distinctiveness"))</f>
      </c>
      <c r="AY73" s="380"/>
      <c r="AZ73" s="723"/>
      <c r="BA73" s="401">
        <v>8</v>
      </c>
      <c r="BB73" t="s" s="291">
        <f>TRIM(MID(SUBSTITUTE($AW$66,$BA$62,REPT(" ",LEN($AW$66))),($BA73-1)*LEN($AW$66)+1,LEN($AW$66)))</f>
      </c>
      <c r="BC73" t="s" s="291">
        <f>TRIM(MID(SUBSTITUTE($AW$67,$BA$62,REPT(" ",LEN($AW$67))),($BA73-1)*LEN($AW$67)+1,LEN($AW$67)))</f>
      </c>
      <c r="BD73" t="s" s="291">
        <f>TRIM(MID(SUBSTITUTE($AW$68,$BA$62,REPT(" ",LEN($AW$68))),($BA73-1)*LEN($AW$68)+1,LEN($AW$68)))</f>
      </c>
      <c r="BE73" t="s" s="291">
        <f>TRIM(MID(SUBSTITUTE($AW$69,$BA$62,REPT(" ",LEN($AW$69))),($BA73-1)*LEN($AW$69)+1,LEN($AW$69)))</f>
      </c>
      <c r="BF73" t="s" s="291">
        <f>TRIM(MID(SUBSTITUTE($AW$70,$BA$62,REPT(" ",LEN($AW$70))),($BA73-1)*LEN($AW$70)+1,LEN($AW$70)))</f>
      </c>
      <c r="BG73" t="s" s="291">
        <f>TRIM(MID(SUBSTITUTE($AW$71,$BA$62,REPT(" ",LEN($AW$71))),($BA73-1)*LEN($AW$71)+1,LEN($AW$71)))</f>
      </c>
      <c r="BH73" t="s" s="291">
        <f>TRIM(MID(SUBSTITUTE($AW$72,$BA$62,REPT(" ",LEN($AW$72))),($BA73-1)*LEN($AW$72)+1,LEN($AW$72)))</f>
      </c>
      <c r="BI73" t="s" s="291">
        <f>TRIM(MID(SUBSTITUTE($AW$73,$BA$62,REPT(" ",LEN($AW$73))),($BA73-1)*LEN($AW$73)+1,LEN($AW$73)))</f>
      </c>
      <c r="BJ73" t="s" s="291">
        <f>TRIM(MID(SUBSTITUTE($AW$74,$BA$62,REPT(" ",LEN($AW$74))),($BA73-1)*LEN($AW$74)+1,LEN($AW$74)))</f>
      </c>
      <c r="BK73" t="s" s="291">
        <f>TRIM(MID(SUBSTITUTE($AW$75,$BA$62,REPT(" ",LEN($AW$75))),($BA73-1)*LEN($AW$75)+1,LEN($AW$75)))</f>
      </c>
      <c r="BL73" t="s" s="291">
        <f>TRIM(MID(SUBSTITUTE($AW$76,$BA$62,REPT(" ",LEN($AW$76))),($BA73-1)*LEN($AW$76)+1,LEN($AW$76)))</f>
      </c>
      <c r="BM73" t="s" s="291">
        <f>TRIM(MID(SUBSTITUTE($AW$77,$BA$62,REPT(" ",LEN($AW$77))),($BA73-1)*LEN($AW$77)+1,LEN($AW$77)))</f>
      </c>
      <c r="BN73" t="s" s="291">
        <f>TRIM(MID(SUBSTITUTE($AW$78,$BA$62,REPT(" ",LEN($AW$78))),($BA73-1)*LEN($AW$78)+1,LEN($AW$78)))</f>
      </c>
      <c r="BO73" t="s" s="291">
        <f>TRIM(MID(SUBSTITUTE($AW$79,$BA$62,REPT(" ",LEN($AW$79))),($BA73-1)*LEN($AW$79)+1,LEN($AW$79)))</f>
      </c>
      <c r="BP73" t="s" s="291">
        <f>TRIM(MID(SUBSTITUTE($AW$80,$BA$62,REPT(" ",LEN($AW$80))),($BA73-1)*LEN($AW$80)+1,LEN($AW$80)))</f>
      </c>
      <c r="BQ73" t="s" s="291">
        <f>TRIM(MID(SUBSTITUTE($AW$81,$BA$62,REPT(" ",LEN($AW$81))),($BA73-1)*LEN($AW$81)+1,LEN($AW$81)))</f>
      </c>
      <c r="BR73" t="s" s="291">
        <f>TRIM(MID(SUBSTITUTE($AW$82,$BA$62,REPT(" ",LEN($AW$82))),($BA73-1)*LEN($AW$82)+1,LEN($AW$82)))</f>
      </c>
      <c r="BS73" t="s" s="291">
        <f>TRIM(MID(SUBSTITUTE($AW$83,$BA$62,REPT(" ",LEN($AW$83))),($BA73-1)*LEN($AW$83)+1,LEN($AW$83)))</f>
      </c>
      <c r="BT73" t="s" s="291">
        <f>TRIM(MID(SUBSTITUTE($AW$84,$BA$62,REPT(" ",LEN($AW$84))),($BA73-1)*LEN($AW$84)+1,LEN($AW$84)))</f>
      </c>
      <c r="BU73" t="s" s="313">
        <f>TRIM(MID(SUBSTITUTE($AW$85,$BA$62,REPT(" ",LEN($AW$85))),($BA73-1)*LEN($AW$85)+1,LEN($AW$85)))</f>
      </c>
      <c r="BV73" t="s" s="285">
        <f>IF(BX73=0,"",CONCATENATE(BW73,"66:",BW73,BX73+65))</f>
      </c>
      <c r="BW73" t="s" s="291">
        <v>231</v>
      </c>
      <c r="BX73" s="518">
        <f>BI64</f>
        <v>0</v>
      </c>
    </row>
    <row r="74" ht="15.6" customHeight="1">
      <c r="A74" s="379"/>
      <c r="B74" s="296">
        <v>9</v>
      </c>
      <c r="C74" t="s" s="519">
        <f>IF(D74="","",C19)</f>
      </c>
      <c r="D74" t="s" s="520">
        <f>IF(OR(K19="",K19=0),"",D19)</f>
      </c>
      <c r="E74" t="s" s="521">
        <f>IF(AX74="","",AX74)</f>
      </c>
      <c r="F74" s="314"/>
      <c r="G74" s="315"/>
      <c r="H74" s="501"/>
      <c r="I74" t="s" s="502">
        <f>IF(OR(K19="",K19=0),"",K19)</f>
      </c>
      <c r="J74" t="s" s="503">
        <f>_xlfn.IFERROR(IF(F74="","",VLOOKUP(F74,'10. Condition and Temporal'!$B$6:$F$103,5,FALSE)),"Error ▲")</f>
      </c>
      <c r="K74" s="504"/>
      <c r="L74" t="s" s="418">
        <f>_xlfn.IFERROR(IF(D74="","",IF(AX74="Distinctiveness",(((((I74*AH74*AJ74)-(I74*V74*X74))*(AV74*AT74))+(I74*V74*X74))*AP74/1000),((((I74*AH74*AJ74)-(I74*V74*X74))*(AV74*AR74))+(I74*V74*X74))*AP74/1000)),"This intervention is not permitted within the SSM ▲")</f>
      </c>
      <c r="M74" t="s" s="724">
        <f>_xlfn.IFERROR(IF(F74="","",L74-AD74),"Error ▲")</f>
      </c>
      <c r="N74" s="700"/>
      <c r="O74" s="415"/>
      <c r="P74" s="315"/>
      <c r="Q74" s="380"/>
      <c r="R74" s="219"/>
      <c r="S74" s="381"/>
      <c r="T74" t="s" s="295">
        <f>IF(D74="","",K19)</f>
      </c>
      <c r="U74" t="s" s="285">
        <f>IF($D74="","",T19)</f>
      </c>
      <c r="V74" t="s" s="313">
        <f>IF($D74="","",V19)</f>
      </c>
      <c r="W74" t="s" s="285">
        <f>IF($D74="","",W19)</f>
      </c>
      <c r="X74" t="s" s="291">
        <f>IF($D74="","",X19)</f>
      </c>
      <c r="Y74" s="511"/>
      <c r="Z74" s="511"/>
      <c r="AA74" s="511"/>
      <c r="AB74" t="s" s="291">
        <f>IF($D74="","",AB19)</f>
      </c>
      <c r="AC74" t="s" s="291">
        <f>IF($D74="","",AD19)</f>
      </c>
      <c r="AD74" t="s" s="313">
        <f>IF(AC74="","",(T74*V74*X74)*AC74/1000)</f>
      </c>
      <c r="AE74" t="s" s="295">
        <f>IF(AD74="","",IF(AH74&lt;V74,"Not Acceptable","Acceptable"))</f>
      </c>
      <c r="AF74" t="s" s="295">
        <f>IF(D74="","",I74)</f>
      </c>
      <c r="AG74" t="s" s="285">
        <f>IF(D74="","",VLOOKUP(F74,'9. All Habitats + Multipliers'!$C$4:$K$102,5,FALSE))</f>
      </c>
      <c r="AH74" t="s" s="313">
        <f>IF(AG74="","",VLOOKUP(AG74,'11. Lists'!$S$47:$U$50,2,FALSE))</f>
      </c>
      <c r="AI74" t="s" s="295">
        <f>IF(D74="","",J74)</f>
      </c>
      <c r="AJ74" t="s" s="285">
        <f>IF(AI74="","",VLOOKUP(AI74,'11. Lists'!$F$47:$G$51,2,FALSE))</f>
      </c>
      <c r="AK74" s="511"/>
      <c r="AL74" s="511"/>
      <c r="AM74" s="511"/>
      <c r="AN74" t="s" s="313">
        <f>IF(H74="","",H74)</f>
      </c>
      <c r="AO74" t="s" s="285">
        <f>IF(AN74="","",VLOOKUP(AN74,'11. Lists'!$F$36:$H$38,2,FALSE))</f>
      </c>
      <c r="AP74" t="s" s="313">
        <f>IF(AN74="","",VLOOKUP(AN74,'11. Lists'!$F$36:$H$38,3,FALSE))</f>
      </c>
      <c r="AQ74" t="s" s="285">
        <f>IF(D74="","",IF(AX74="Distinctiveness","N/A",VLOOKUP(F74,'10. Condition and Temporal'!$B$6:$L$103,11,FALSE)))</f>
      </c>
      <c r="AR74" t="s" s="313">
        <f>IF(AQ74="","",IF(AQ74="N/A","1",VLOOKUP(AQ74,'11. Lists'!$I$47:$K$80,3,FALSE)))</f>
      </c>
      <c r="AS74" t="s" s="285">
        <f>IF(D74="","",IF(AX74="Condition","N/A",VLOOKUP(F74,'10. Condition and Temporal'!$B$6:$M$106,12,FALSE)))</f>
      </c>
      <c r="AT74" t="s" s="313">
        <f>IF(AS74="","",IF(AS74="N/A","1",VLOOKUP(AS74,'11. Lists'!$I$47:$K$80,3,FALSE)))</f>
      </c>
      <c r="AU74" t="s" s="285">
        <f>IF(D74="","",VLOOKUP(F74,'9. All Habitats + Multipliers'!$C$4:$K$102,8,FALSE))</f>
      </c>
      <c r="AV74" t="s" s="313">
        <f>IF(AU74="","",VLOOKUP(AU74,'11. Lists'!$J$35:$K$38,2,FALSE))</f>
      </c>
      <c r="AW74" t="s" s="285">
        <f>IF(D74="","",VLOOKUP(D74,'10. Condition and Temporal'!$B$6:$M$103,4,FALSE))</f>
      </c>
      <c r="AX74" t="s" s="313">
        <f>IF(F74="","",IF(D74=F74,"Condition","Distinctiveness"))</f>
      </c>
      <c r="AY74" s="380"/>
      <c r="AZ74" s="723"/>
      <c r="BA74" s="401">
        <v>9</v>
      </c>
      <c r="BB74" t="s" s="291">
        <f>TRIM(MID(SUBSTITUTE($AW$66,$BA$62,REPT(" ",LEN($AW$66))),($BA74-1)*LEN($AW$66)+1,LEN($AW$66)))</f>
      </c>
      <c r="BC74" t="s" s="291">
        <f>TRIM(MID(SUBSTITUTE($AW$67,$BA$62,REPT(" ",LEN($AW$67))),($BA74-1)*LEN($AW$67)+1,LEN($AW$67)))</f>
      </c>
      <c r="BD74" t="s" s="291">
        <f>TRIM(MID(SUBSTITUTE($AW$68,$BA$62,REPT(" ",LEN($AW$68))),($BA74-1)*LEN($AW$68)+1,LEN($AW$68)))</f>
      </c>
      <c r="BE74" t="s" s="291">
        <f>TRIM(MID(SUBSTITUTE($AW$69,$BA$62,REPT(" ",LEN($AW$69))),($BA74-1)*LEN($AW$69)+1,LEN($AW$69)))</f>
      </c>
      <c r="BF74" t="s" s="291">
        <f>TRIM(MID(SUBSTITUTE($AW$70,$BA$62,REPT(" ",LEN($AW$70))),($BA74-1)*LEN($AW$70)+1,LEN($AW$70)))</f>
      </c>
      <c r="BG74" t="s" s="291">
        <f>TRIM(MID(SUBSTITUTE($AW$71,$BA$62,REPT(" ",LEN($AW$71))),($BA74-1)*LEN($AW$71)+1,LEN($AW$71)))</f>
      </c>
      <c r="BH74" t="s" s="291">
        <f>TRIM(MID(SUBSTITUTE($AW$72,$BA$62,REPT(" ",LEN($AW$72))),($BA74-1)*LEN($AW$72)+1,LEN($AW$72)))</f>
      </c>
      <c r="BI74" t="s" s="291">
        <f>TRIM(MID(SUBSTITUTE($AW$73,$BA$62,REPT(" ",LEN($AW$73))),($BA74-1)*LEN($AW$73)+1,LEN($AW$73)))</f>
      </c>
      <c r="BJ74" t="s" s="291">
        <f>TRIM(MID(SUBSTITUTE($AW$74,$BA$62,REPT(" ",LEN($AW$74))),($BA74-1)*LEN($AW$74)+1,LEN($AW$74)))</f>
      </c>
      <c r="BK74" t="s" s="291">
        <f>TRIM(MID(SUBSTITUTE($AW$75,$BA$62,REPT(" ",LEN($AW$75))),($BA74-1)*LEN($AW$75)+1,LEN($AW$75)))</f>
      </c>
      <c r="BL74" t="s" s="291">
        <f>TRIM(MID(SUBSTITUTE($AW$76,$BA$62,REPT(" ",LEN($AW$76))),($BA74-1)*LEN($AW$76)+1,LEN($AW$76)))</f>
      </c>
      <c r="BM74" t="s" s="291">
        <f>TRIM(MID(SUBSTITUTE($AW$77,$BA$62,REPT(" ",LEN($AW$77))),($BA74-1)*LEN($AW$77)+1,LEN($AW$77)))</f>
      </c>
      <c r="BN74" t="s" s="291">
        <f>TRIM(MID(SUBSTITUTE($AW$78,$BA$62,REPT(" ",LEN($AW$78))),($BA74-1)*LEN($AW$78)+1,LEN($AW$78)))</f>
      </c>
      <c r="BO74" t="s" s="291">
        <f>TRIM(MID(SUBSTITUTE($AW$79,$BA$62,REPT(" ",LEN($AW$79))),($BA74-1)*LEN($AW$79)+1,LEN($AW$79)))</f>
      </c>
      <c r="BP74" t="s" s="291">
        <f>TRIM(MID(SUBSTITUTE($AW$80,$BA$62,REPT(" ",LEN($AW$80))),($BA74-1)*LEN($AW$80)+1,LEN($AW$80)))</f>
      </c>
      <c r="BQ74" t="s" s="291">
        <f>TRIM(MID(SUBSTITUTE($AW$81,$BA$62,REPT(" ",LEN($AW$81))),($BA74-1)*LEN($AW$81)+1,LEN($AW$81)))</f>
      </c>
      <c r="BR74" t="s" s="291">
        <f>TRIM(MID(SUBSTITUTE($AW$82,$BA$62,REPT(" ",LEN($AW$82))),($BA74-1)*LEN($AW$82)+1,LEN($AW$82)))</f>
      </c>
      <c r="BS74" t="s" s="291">
        <f>TRIM(MID(SUBSTITUTE($AW$83,$BA$62,REPT(" ",LEN($AW$83))),($BA74-1)*LEN($AW$83)+1,LEN($AW$83)))</f>
      </c>
      <c r="BT74" t="s" s="291">
        <f>TRIM(MID(SUBSTITUTE($AW$84,$BA$62,REPT(" ",LEN($AW$84))),($BA74-1)*LEN($AW$84)+1,LEN($AW$84)))</f>
      </c>
      <c r="BU74" t="s" s="313">
        <f>TRIM(MID(SUBSTITUTE($AW$85,$BA$62,REPT(" ",LEN($AW$85))),($BA74-1)*LEN($AW$85)+1,LEN($AW$85)))</f>
      </c>
      <c r="BV74" t="s" s="285">
        <f>IF(BX74=0,"",CONCATENATE(BW74,"66:",BW74,BX74+65))</f>
      </c>
      <c r="BW74" t="s" s="291">
        <v>232</v>
      </c>
      <c r="BX74" s="518">
        <f>BJ64</f>
        <v>0</v>
      </c>
    </row>
    <row r="75" ht="15.6" customHeight="1">
      <c r="A75" s="379"/>
      <c r="B75" s="296">
        <v>10</v>
      </c>
      <c r="C75" t="s" s="519">
        <f>IF(D75="","",C20)</f>
      </c>
      <c r="D75" t="s" s="520">
        <f>IF(OR(K20="",K20=0),"",D20)</f>
      </c>
      <c r="E75" t="s" s="521">
        <f>IF(AX75="","",AX75)</f>
      </c>
      <c r="F75" s="314"/>
      <c r="G75" s="315"/>
      <c r="H75" s="501"/>
      <c r="I75" t="s" s="502">
        <f>IF(OR(K20="",K20=0),"",K20)</f>
      </c>
      <c r="J75" t="s" s="503">
        <f>_xlfn.IFERROR(IF(F75="","",VLOOKUP(F75,'10. Condition and Temporal'!$B$6:$F$103,5,FALSE)),"Error ▲")</f>
      </c>
      <c r="K75" s="504"/>
      <c r="L75" t="s" s="418">
        <f>_xlfn.IFERROR(IF(D75="","",IF(AX75="Distinctiveness",(((((I75*AH75*AJ75)-(I75*V75*X75))*(AV75*AT75))+(I75*V75*X75))*AP75/1000),((((I75*AH75*AJ75)-(I75*V75*X75))*(AV75*AR75))+(I75*V75*X75))*AP75/1000)),"This intervention is not permitted within the SSM ▲")</f>
      </c>
      <c r="M75" t="s" s="724">
        <f>_xlfn.IFERROR(IF(F75="","",L75-AD75),"Error ▲")</f>
      </c>
      <c r="N75" s="700"/>
      <c r="O75" s="415"/>
      <c r="P75" s="315"/>
      <c r="Q75" s="380"/>
      <c r="R75" s="219"/>
      <c r="S75" s="381"/>
      <c r="T75" t="s" s="295">
        <f>IF(D75="","",K20)</f>
      </c>
      <c r="U75" t="s" s="285">
        <f>IF($D75="","",T20)</f>
      </c>
      <c r="V75" t="s" s="313">
        <f>IF($D75="","",V20)</f>
      </c>
      <c r="W75" t="s" s="285">
        <f>IF($D75="","",W20)</f>
      </c>
      <c r="X75" t="s" s="291">
        <f>IF($D75="","",X20)</f>
      </c>
      <c r="Y75" s="511"/>
      <c r="Z75" s="511"/>
      <c r="AA75" s="511"/>
      <c r="AB75" t="s" s="291">
        <f>IF($D75="","",AB20)</f>
      </c>
      <c r="AC75" t="s" s="291">
        <f>IF($D75="","",AD20)</f>
      </c>
      <c r="AD75" t="s" s="313">
        <f>IF(AC75="","",(T75*V75*X75)*AC75/1000)</f>
      </c>
      <c r="AE75" t="s" s="295">
        <f>IF(AD75="","",IF(AH75&lt;V75,"Not Acceptable","Acceptable"))</f>
      </c>
      <c r="AF75" t="s" s="295">
        <f>IF(D75="","",I75)</f>
      </c>
      <c r="AG75" t="s" s="285">
        <f>IF(D75="","",VLOOKUP(F75,'9. All Habitats + Multipliers'!$C$4:$K$102,5,FALSE))</f>
      </c>
      <c r="AH75" t="s" s="313">
        <f>IF(AG75="","",VLOOKUP(AG75,'11. Lists'!$S$47:$U$50,2,FALSE))</f>
      </c>
      <c r="AI75" t="s" s="295">
        <f>IF(D75="","",J75)</f>
      </c>
      <c r="AJ75" t="s" s="285">
        <f>IF(AI75="","",VLOOKUP(AI75,'11. Lists'!$F$47:$G$51,2,FALSE))</f>
      </c>
      <c r="AK75" s="511"/>
      <c r="AL75" s="511"/>
      <c r="AM75" s="511"/>
      <c r="AN75" t="s" s="313">
        <f>IF(H75="","",H75)</f>
      </c>
      <c r="AO75" t="s" s="285">
        <f>IF(AN75="","",VLOOKUP(AN75,'11. Lists'!$F$36:$H$38,2,FALSE))</f>
      </c>
      <c r="AP75" t="s" s="313">
        <f>IF(AN75="","",VLOOKUP(AN75,'11. Lists'!$F$36:$H$38,3,FALSE))</f>
      </c>
      <c r="AQ75" t="s" s="285">
        <f>IF(D75="","",IF(AX75="Distinctiveness","N/A",VLOOKUP(F75,'10. Condition and Temporal'!$B$6:$L$103,11,FALSE)))</f>
      </c>
      <c r="AR75" t="s" s="313">
        <f>IF(AQ75="","",IF(AQ75="N/A","1",VLOOKUP(AQ75,'11. Lists'!$I$47:$K$80,3,FALSE)))</f>
      </c>
      <c r="AS75" t="s" s="285">
        <f>IF(D75="","",IF(AX75="Condition","N/A",VLOOKUP(F75,'10. Condition and Temporal'!$B$6:$M$106,12,FALSE)))</f>
      </c>
      <c r="AT75" t="s" s="313">
        <f>IF(AS75="","",IF(AS75="N/A","1",VLOOKUP(AS75,'11. Lists'!$I$47:$K$80,3,FALSE)))</f>
      </c>
      <c r="AU75" t="s" s="285">
        <f>IF(D75="","",VLOOKUP(F75,'9. All Habitats + Multipliers'!$C$4:$K$102,8,FALSE))</f>
      </c>
      <c r="AV75" t="s" s="313">
        <f>IF(AU75="","",VLOOKUP(AU75,'11. Lists'!$J$35:$K$38,2,FALSE))</f>
      </c>
      <c r="AW75" t="s" s="285">
        <f>IF(D75="","",VLOOKUP(D75,'10. Condition and Temporal'!$B$6:$M$103,4,FALSE))</f>
      </c>
      <c r="AX75" t="s" s="313">
        <f>IF(F75="","",IF(D75=F75,"Condition","Distinctiveness"))</f>
      </c>
      <c r="AY75" s="380"/>
      <c r="AZ75" s="723"/>
      <c r="BA75" s="401">
        <v>10</v>
      </c>
      <c r="BB75" t="s" s="291">
        <f>TRIM(MID(SUBSTITUTE($AW$66,$BA$62,REPT(" ",LEN($AW$66))),($BA75-1)*LEN($AW$66)+1,LEN($AW$66)))</f>
      </c>
      <c r="BC75" t="s" s="291">
        <f>TRIM(MID(SUBSTITUTE($AW$67,$BA$62,REPT(" ",LEN($AW$67))),($BA75-1)*LEN($AW$67)+1,LEN($AW$67)))</f>
      </c>
      <c r="BD75" t="s" s="291">
        <f>TRIM(MID(SUBSTITUTE($AW$68,$BA$62,REPT(" ",LEN($AW$68))),($BA75-1)*LEN($AW$68)+1,LEN($AW$68)))</f>
      </c>
      <c r="BE75" t="s" s="291">
        <f>TRIM(MID(SUBSTITUTE($AW$69,$BA$62,REPT(" ",LEN($AW$69))),($BA75-1)*LEN($AW$69)+1,LEN($AW$69)))</f>
      </c>
      <c r="BF75" t="s" s="291">
        <f>TRIM(MID(SUBSTITUTE($AW$70,$BA$62,REPT(" ",LEN($AW$70))),($BA75-1)*LEN($AW$70)+1,LEN($AW$70)))</f>
      </c>
      <c r="BG75" t="s" s="291">
        <f>TRIM(MID(SUBSTITUTE($AW$71,$BA$62,REPT(" ",LEN($AW$71))),($BA75-1)*LEN($AW$71)+1,LEN($AW$71)))</f>
      </c>
      <c r="BH75" t="s" s="291">
        <f>TRIM(MID(SUBSTITUTE($AW$72,$BA$62,REPT(" ",LEN($AW$72))),($BA75-1)*LEN($AW$72)+1,LEN($AW$72)))</f>
      </c>
      <c r="BI75" t="s" s="291">
        <f>TRIM(MID(SUBSTITUTE($AW$73,$BA$62,REPT(" ",LEN($AW$73))),($BA75-1)*LEN($AW$73)+1,LEN($AW$73)))</f>
      </c>
      <c r="BJ75" t="s" s="291">
        <f>TRIM(MID(SUBSTITUTE($AW$74,$BA$62,REPT(" ",LEN($AW$74))),($BA75-1)*LEN($AW$74)+1,LEN($AW$74)))</f>
      </c>
      <c r="BK75" t="s" s="291">
        <f>TRIM(MID(SUBSTITUTE($AW$75,$BA$62,REPT(" ",LEN($AW$75))),($BA75-1)*LEN($AW$75)+1,LEN($AW$75)))</f>
      </c>
      <c r="BL75" t="s" s="291">
        <f>TRIM(MID(SUBSTITUTE($AW$76,$BA$62,REPT(" ",LEN($AW$76))),($BA75-1)*LEN($AW$76)+1,LEN($AW$76)))</f>
      </c>
      <c r="BM75" t="s" s="291">
        <f>TRIM(MID(SUBSTITUTE($AW$77,$BA$62,REPT(" ",LEN($AW$77))),($BA75-1)*LEN($AW$77)+1,LEN($AW$77)))</f>
      </c>
      <c r="BN75" t="s" s="291">
        <f>TRIM(MID(SUBSTITUTE($AW$78,$BA$62,REPT(" ",LEN($AW$78))),($BA75-1)*LEN($AW$78)+1,LEN($AW$78)))</f>
      </c>
      <c r="BO75" t="s" s="291">
        <f>TRIM(MID(SUBSTITUTE($AW$79,$BA$62,REPT(" ",LEN($AW$79))),($BA75-1)*LEN($AW$79)+1,LEN($AW$79)))</f>
      </c>
      <c r="BP75" t="s" s="291">
        <f>TRIM(MID(SUBSTITUTE($AW$80,$BA$62,REPT(" ",LEN($AW$80))),($BA75-1)*LEN($AW$80)+1,LEN($AW$80)))</f>
      </c>
      <c r="BQ75" t="s" s="291">
        <f>TRIM(MID(SUBSTITUTE($AW$81,$BA$62,REPT(" ",LEN($AW$81))),($BA75-1)*LEN($AW$81)+1,LEN($AW$81)))</f>
      </c>
      <c r="BR75" t="s" s="291">
        <f>TRIM(MID(SUBSTITUTE($AW$82,$BA$62,REPT(" ",LEN($AW$82))),($BA75-1)*LEN($AW$82)+1,LEN($AW$82)))</f>
      </c>
      <c r="BS75" t="s" s="291">
        <f>TRIM(MID(SUBSTITUTE($AW$83,$BA$62,REPT(" ",LEN($AW$83))),($BA75-1)*LEN($AW$83)+1,LEN($AW$83)))</f>
      </c>
      <c r="BT75" t="s" s="291">
        <f>TRIM(MID(SUBSTITUTE($AW$84,$BA$62,REPT(" ",LEN($AW$84))),($BA75-1)*LEN($AW$84)+1,LEN($AW$84)))</f>
      </c>
      <c r="BU75" t="s" s="313">
        <f>TRIM(MID(SUBSTITUTE($AW$85,$BA$62,REPT(" ",LEN($AW$85))),($BA75-1)*LEN($AW$85)+1,LEN($AW$85)))</f>
      </c>
      <c r="BV75" t="s" s="285">
        <f>IF(BX75=0,"",CONCATENATE(BW75,"66:",BW75,BX75+65))</f>
      </c>
      <c r="BW75" t="s" s="291">
        <v>233</v>
      </c>
      <c r="BX75" s="518">
        <f>BK64</f>
        <v>0</v>
      </c>
    </row>
    <row r="76" ht="15.6" customHeight="1">
      <c r="A76" s="379"/>
      <c r="B76" s="296">
        <v>11</v>
      </c>
      <c r="C76" t="s" s="519">
        <f>IF(D76="","",C21)</f>
      </c>
      <c r="D76" t="s" s="520">
        <f>IF(OR(K21="",K21=0),"",D21)</f>
      </c>
      <c r="E76" t="s" s="521">
        <f>IF(AX76="","",AX76)</f>
      </c>
      <c r="F76" s="314"/>
      <c r="G76" s="315"/>
      <c r="H76" s="501"/>
      <c r="I76" t="s" s="502">
        <f>IF(OR(K21="",K21=0),"",K21)</f>
      </c>
      <c r="J76" t="s" s="503">
        <f>_xlfn.IFERROR(IF(F76="","",VLOOKUP(F76,'10. Condition and Temporal'!$B$6:$F$103,5,FALSE)),"Error ▲")</f>
      </c>
      <c r="K76" s="504"/>
      <c r="L76" t="s" s="418">
        <f>_xlfn.IFERROR(IF(D76="","",IF(AX76="Distinctiveness",(((((I76*AH76*AJ76)-(I76*V76*X76))*(AV76*AT76))+(I76*V76*X76))*AP76/1000),((((I76*AH76*AJ76)-(I76*V76*X76))*(AV76*AR76))+(I76*V76*X76))*AP76/1000)),"This intervention is not permitted within the SSM ▲")</f>
      </c>
      <c r="M76" t="s" s="724">
        <f>_xlfn.IFERROR(IF(F76="","",L76-AD76),"Error ▲")</f>
      </c>
      <c r="N76" s="700"/>
      <c r="O76" s="415"/>
      <c r="P76" s="315"/>
      <c r="Q76" s="380"/>
      <c r="R76" s="219"/>
      <c r="S76" s="381"/>
      <c r="T76" t="s" s="295">
        <f>IF(D76="","",K21)</f>
      </c>
      <c r="U76" t="s" s="285">
        <f>IF($D76="","",T21)</f>
      </c>
      <c r="V76" t="s" s="313">
        <f>IF($D76="","",V21)</f>
      </c>
      <c r="W76" t="s" s="285">
        <f>IF($D76="","",W21)</f>
      </c>
      <c r="X76" t="s" s="291">
        <f>IF($D76="","",X21)</f>
      </c>
      <c r="Y76" s="511"/>
      <c r="Z76" s="511"/>
      <c r="AA76" s="511"/>
      <c r="AB76" t="s" s="291">
        <f>IF($D76="","",AB21)</f>
      </c>
      <c r="AC76" t="s" s="291">
        <f>IF($D76="","",AD21)</f>
      </c>
      <c r="AD76" t="s" s="313">
        <f>IF(AC76="","",(T76*V76*X76)*AC76/1000)</f>
      </c>
      <c r="AE76" t="s" s="295">
        <f>IF(AD76="","",IF(AH76&lt;V76,"Not Acceptable","Acceptable"))</f>
      </c>
      <c r="AF76" t="s" s="295">
        <f>IF(D76="","",I76)</f>
      </c>
      <c r="AG76" t="s" s="285">
        <f>IF(D76="","",VLOOKUP(F76,'9. All Habitats + Multipliers'!$C$4:$K$102,5,FALSE))</f>
      </c>
      <c r="AH76" t="s" s="313">
        <f>IF(AG76="","",VLOOKUP(AG76,'11. Lists'!$S$47:$U$50,2,FALSE))</f>
      </c>
      <c r="AI76" t="s" s="295">
        <f>IF(D76="","",J76)</f>
      </c>
      <c r="AJ76" t="s" s="285">
        <f>IF(AI76="","",VLOOKUP(AI76,'11. Lists'!$F$47:$G$51,2,FALSE))</f>
      </c>
      <c r="AK76" s="511"/>
      <c r="AL76" s="511"/>
      <c r="AM76" s="511"/>
      <c r="AN76" t="s" s="313">
        <f>IF(H76="","",H76)</f>
      </c>
      <c r="AO76" t="s" s="285">
        <f>IF(AN76="","",VLOOKUP(AN76,'11. Lists'!$F$36:$H$38,2,FALSE))</f>
      </c>
      <c r="AP76" t="s" s="313">
        <f>IF(AN76="","",VLOOKUP(AN76,'11. Lists'!$F$36:$H$38,3,FALSE))</f>
      </c>
      <c r="AQ76" t="s" s="285">
        <f>IF(D76="","",IF(AX76="Distinctiveness","N/A",VLOOKUP(F76,'10. Condition and Temporal'!$B$6:$L$103,11,FALSE)))</f>
      </c>
      <c r="AR76" t="s" s="313">
        <f>IF(AQ76="","",IF(AQ76="N/A","1",VLOOKUP(AQ76,'11. Lists'!$I$47:$K$80,3,FALSE)))</f>
      </c>
      <c r="AS76" t="s" s="285">
        <f>IF(D76="","",IF(AX76="Condition","N/A",VLOOKUP(F76,'10. Condition and Temporal'!$B$6:$M$106,12,FALSE)))</f>
      </c>
      <c r="AT76" t="s" s="313">
        <f>IF(AS76="","",IF(AS76="N/A","1",VLOOKUP(AS76,'11. Lists'!$I$47:$K$80,3,FALSE)))</f>
      </c>
      <c r="AU76" t="s" s="285">
        <f>IF(D76="","",VLOOKUP(F76,'9. All Habitats + Multipliers'!$C$4:$K$102,8,FALSE))</f>
      </c>
      <c r="AV76" t="s" s="313">
        <f>IF(AU76="","",VLOOKUP(AU76,'11. Lists'!$J$35:$K$38,2,FALSE))</f>
      </c>
      <c r="AW76" t="s" s="285">
        <f>IF(D76="","",VLOOKUP(D76,'10. Condition and Temporal'!$B$6:$M$103,4,FALSE))</f>
      </c>
      <c r="AX76" t="s" s="313">
        <f>IF(F76="","",IF(D76=F76,"Condition","Distinctiveness"))</f>
      </c>
      <c r="AY76" s="380"/>
      <c r="AZ76" s="723"/>
      <c r="BA76" s="401">
        <v>11</v>
      </c>
      <c r="BB76" t="s" s="291">
        <f>TRIM(MID(SUBSTITUTE($AW$66,$BA$62,REPT(" ",LEN($AW$66))),($BA76-1)*LEN($AW$66)+1,LEN($AW$66)))</f>
      </c>
      <c r="BC76" t="s" s="291">
        <f>TRIM(MID(SUBSTITUTE($AW$67,$BA$62,REPT(" ",LEN($AW$67))),($BA76-1)*LEN($AW$67)+1,LEN($AW$67)))</f>
      </c>
      <c r="BD76" t="s" s="291">
        <f>TRIM(MID(SUBSTITUTE($AW$68,$BA$62,REPT(" ",LEN($AW$68))),($BA76-1)*LEN($AW$68)+1,LEN($AW$68)))</f>
      </c>
      <c r="BE76" t="s" s="291">
        <f>TRIM(MID(SUBSTITUTE($AW$69,$BA$62,REPT(" ",LEN($AW$69))),($BA76-1)*LEN($AW$69)+1,LEN($AW$69)))</f>
      </c>
      <c r="BF76" t="s" s="291">
        <f>TRIM(MID(SUBSTITUTE($AW$70,$BA$62,REPT(" ",LEN($AW$70))),($BA76-1)*LEN($AW$70)+1,LEN($AW$70)))</f>
      </c>
      <c r="BG76" t="s" s="291">
        <f>TRIM(MID(SUBSTITUTE($AW$71,$BA$62,REPT(" ",LEN($AW$71))),($BA76-1)*LEN($AW$71)+1,LEN($AW$71)))</f>
      </c>
      <c r="BH76" t="s" s="291">
        <f>TRIM(MID(SUBSTITUTE($AW$72,$BA$62,REPT(" ",LEN($AW$72))),($BA76-1)*LEN($AW$72)+1,LEN($AW$72)))</f>
      </c>
      <c r="BI76" t="s" s="291">
        <f>TRIM(MID(SUBSTITUTE($AW$73,$BA$62,REPT(" ",LEN($AW$73))),($BA76-1)*LEN($AW$73)+1,LEN($AW$73)))</f>
      </c>
      <c r="BJ76" t="s" s="291">
        <f>TRIM(MID(SUBSTITUTE($AW$74,$BA$62,REPT(" ",LEN($AW$74))),($BA76-1)*LEN($AW$74)+1,LEN($AW$74)))</f>
      </c>
      <c r="BK76" t="s" s="291">
        <f>TRIM(MID(SUBSTITUTE($AW$75,$BA$62,REPT(" ",LEN($AW$75))),($BA76-1)*LEN($AW$75)+1,LEN($AW$75)))</f>
      </c>
      <c r="BL76" t="s" s="291">
        <f>TRIM(MID(SUBSTITUTE($AW$76,$BA$62,REPT(" ",LEN($AW$76))),($BA76-1)*LEN($AW$76)+1,LEN($AW$76)))</f>
      </c>
      <c r="BM76" t="s" s="291">
        <f>TRIM(MID(SUBSTITUTE($AW$77,$BA$62,REPT(" ",LEN($AW$77))),($BA76-1)*LEN($AW$77)+1,LEN($AW$77)))</f>
      </c>
      <c r="BN76" t="s" s="291">
        <f>TRIM(MID(SUBSTITUTE($AW$78,$BA$62,REPT(" ",LEN($AW$78))),($BA76-1)*LEN($AW$78)+1,LEN($AW$78)))</f>
      </c>
      <c r="BO76" t="s" s="291">
        <f>TRIM(MID(SUBSTITUTE($AW$79,$BA$62,REPT(" ",LEN($AW$79))),($BA76-1)*LEN($AW$79)+1,LEN($AW$79)))</f>
      </c>
      <c r="BP76" t="s" s="291">
        <f>TRIM(MID(SUBSTITUTE($AW$80,$BA$62,REPT(" ",LEN($AW$80))),($BA76-1)*LEN($AW$80)+1,LEN($AW$80)))</f>
      </c>
      <c r="BQ76" t="s" s="291">
        <f>TRIM(MID(SUBSTITUTE($AW$81,$BA$62,REPT(" ",LEN($AW$81))),($BA76-1)*LEN($AW$81)+1,LEN($AW$81)))</f>
      </c>
      <c r="BR76" t="s" s="291">
        <f>TRIM(MID(SUBSTITUTE($AW$82,$BA$62,REPT(" ",LEN($AW$82))),($BA76-1)*LEN($AW$82)+1,LEN($AW$82)))</f>
      </c>
      <c r="BS76" t="s" s="291">
        <f>TRIM(MID(SUBSTITUTE($AW$83,$BA$62,REPT(" ",LEN($AW$83))),($BA76-1)*LEN($AW$83)+1,LEN($AW$83)))</f>
      </c>
      <c r="BT76" t="s" s="291">
        <f>TRIM(MID(SUBSTITUTE($AW$84,$BA$62,REPT(" ",LEN($AW$84))),($BA76-1)*LEN($AW$84)+1,LEN($AW$84)))</f>
      </c>
      <c r="BU76" t="s" s="313">
        <f>TRIM(MID(SUBSTITUTE($AW$85,$BA$62,REPT(" ",LEN($AW$85))),($BA76-1)*LEN($AW$85)+1,LEN($AW$85)))</f>
      </c>
      <c r="BV76" t="s" s="285">
        <f>IF(BX76=0,"",CONCATENATE(BW76,"66:",BW76,BX76+65))</f>
      </c>
      <c r="BW76" t="s" s="291">
        <v>234</v>
      </c>
      <c r="BX76" s="518">
        <f>BL64</f>
        <v>0</v>
      </c>
    </row>
    <row r="77" ht="15.6" customHeight="1">
      <c r="A77" s="379"/>
      <c r="B77" s="296">
        <v>12</v>
      </c>
      <c r="C77" t="s" s="519">
        <f>IF(D77="","",C22)</f>
      </c>
      <c r="D77" t="s" s="520">
        <f>IF(OR(K22="",K22=0),"",D22)</f>
      </c>
      <c r="E77" t="s" s="521">
        <f>IF(AX77="","",AX77)</f>
      </c>
      <c r="F77" s="314"/>
      <c r="G77" s="315"/>
      <c r="H77" s="501"/>
      <c r="I77" t="s" s="502">
        <f>IF(OR(K22="",K22=0),"",K22)</f>
      </c>
      <c r="J77" t="s" s="503">
        <f>_xlfn.IFERROR(IF(F77="","",VLOOKUP(F77,'10. Condition and Temporal'!$B$6:$F$103,5,FALSE)),"Error ▲")</f>
      </c>
      <c r="K77" s="504"/>
      <c r="L77" t="s" s="418">
        <f>_xlfn.IFERROR(IF(D77="","",IF(AX77="Distinctiveness",(((((I77*AH77*AJ77)-(I77*V77*X77))*(AV77*AT77))+(I77*V77*X77))*AP77/1000),((((I77*AH77*AJ77)-(I77*V77*X77))*(AV77*AR77))+(I77*V77*X77))*AP77/1000)),"This intervention is not permitted within the SSM ▲")</f>
      </c>
      <c r="M77" t="s" s="724">
        <f>_xlfn.IFERROR(IF(F77="","",L77-AD77),"Error ▲")</f>
      </c>
      <c r="N77" s="700"/>
      <c r="O77" s="415"/>
      <c r="P77" s="315"/>
      <c r="Q77" s="380"/>
      <c r="R77" s="219"/>
      <c r="S77" s="381"/>
      <c r="T77" t="s" s="295">
        <f>IF(D77="","",K22)</f>
      </c>
      <c r="U77" t="s" s="285">
        <f>IF($D77="","",T22)</f>
      </c>
      <c r="V77" t="s" s="313">
        <f>IF($D77="","",V22)</f>
      </c>
      <c r="W77" t="s" s="285">
        <f>IF($D77="","",W22)</f>
      </c>
      <c r="X77" t="s" s="291">
        <f>IF($D77="","",X22)</f>
      </c>
      <c r="Y77" s="511"/>
      <c r="Z77" s="511"/>
      <c r="AA77" s="511"/>
      <c r="AB77" t="s" s="291">
        <f>IF($D77="","",AB22)</f>
      </c>
      <c r="AC77" t="s" s="291">
        <f>IF($D77="","",AD22)</f>
      </c>
      <c r="AD77" t="s" s="313">
        <f>IF(AC77="","",(T77*V77*X77)*AC77/1000)</f>
      </c>
      <c r="AE77" t="s" s="295">
        <f>IF(AD77="","",IF(AH77&lt;V77,"Not Acceptable","Acceptable"))</f>
      </c>
      <c r="AF77" t="s" s="295">
        <f>IF(D77="","",I77)</f>
      </c>
      <c r="AG77" t="s" s="285">
        <f>IF(D77="","",VLOOKUP(F77,'9. All Habitats + Multipliers'!$C$4:$K$102,5,FALSE))</f>
      </c>
      <c r="AH77" t="s" s="313">
        <f>IF(AG77="","",VLOOKUP(AG77,'11. Lists'!$S$47:$U$50,2,FALSE))</f>
      </c>
      <c r="AI77" t="s" s="295">
        <f>IF(D77="","",J77)</f>
      </c>
      <c r="AJ77" t="s" s="285">
        <f>IF(AI77="","",VLOOKUP(AI77,'11. Lists'!$F$47:$G$51,2,FALSE))</f>
      </c>
      <c r="AK77" s="511"/>
      <c r="AL77" s="511"/>
      <c r="AM77" s="511"/>
      <c r="AN77" t="s" s="313">
        <f>IF(H77="","",H77)</f>
      </c>
      <c r="AO77" t="s" s="285">
        <f>IF(AN77="","",VLOOKUP(AN77,'11. Lists'!$F$36:$H$38,2,FALSE))</f>
      </c>
      <c r="AP77" t="s" s="313">
        <f>IF(AN77="","",VLOOKUP(AN77,'11. Lists'!$F$36:$H$38,3,FALSE))</f>
      </c>
      <c r="AQ77" t="s" s="285">
        <f>IF(D77="","",IF(AX77="Distinctiveness","N/A",VLOOKUP(F77,'10. Condition and Temporal'!$B$6:$L$103,11,FALSE)))</f>
      </c>
      <c r="AR77" t="s" s="313">
        <f>IF(AQ77="","",IF(AQ77="N/A","1",VLOOKUP(AQ77,'11. Lists'!$I$47:$K$80,3,FALSE)))</f>
      </c>
      <c r="AS77" t="s" s="285">
        <f>IF(D77="","",IF(AX77="Condition","N/A",VLOOKUP(F77,'10. Condition and Temporal'!$B$6:$M$106,12,FALSE)))</f>
      </c>
      <c r="AT77" t="s" s="313">
        <f>IF(AS77="","",IF(AS77="N/A","1",VLOOKUP(AS77,'11. Lists'!$I$47:$K$80,3,FALSE)))</f>
      </c>
      <c r="AU77" t="s" s="285">
        <f>IF(D77="","",VLOOKUP(F77,'9. All Habitats + Multipliers'!$C$4:$K$102,8,FALSE))</f>
      </c>
      <c r="AV77" t="s" s="313">
        <f>IF(AU77="","",VLOOKUP(AU77,'11. Lists'!$J$35:$K$38,2,FALSE))</f>
      </c>
      <c r="AW77" t="s" s="285">
        <f>IF(D77="","",VLOOKUP(D77,'10. Condition and Temporal'!$B$6:$M$103,4,FALSE))</f>
      </c>
      <c r="AX77" t="s" s="313">
        <f>IF(F77="","",IF(D77=F77,"Condition","Distinctiveness"))</f>
      </c>
      <c r="AY77" s="380"/>
      <c r="AZ77" s="723"/>
      <c r="BA77" s="401">
        <v>12</v>
      </c>
      <c r="BB77" t="s" s="291">
        <f>TRIM(MID(SUBSTITUTE($AW$66,$BA$62,REPT(" ",LEN($AW$66))),($BA77-1)*LEN($AW$66)+1,LEN($AW$66)))</f>
      </c>
      <c r="BC77" t="s" s="291">
        <f>TRIM(MID(SUBSTITUTE($AW$67,$BA$62,REPT(" ",LEN($AW$67))),($BA77-1)*LEN($AW$67)+1,LEN($AW$67)))</f>
      </c>
      <c r="BD77" t="s" s="291">
        <f>TRIM(MID(SUBSTITUTE($AW$68,$BA$62,REPT(" ",LEN($AW$68))),($BA77-1)*LEN($AW$68)+1,LEN($AW$68)))</f>
      </c>
      <c r="BE77" t="s" s="291">
        <f>TRIM(MID(SUBSTITUTE($AW$69,$BA$62,REPT(" ",LEN($AW$69))),($BA77-1)*LEN($AW$69)+1,LEN($AW$69)))</f>
      </c>
      <c r="BF77" t="s" s="291">
        <f>TRIM(MID(SUBSTITUTE($AW$70,$BA$62,REPT(" ",LEN($AW$70))),($BA77-1)*LEN($AW$70)+1,LEN($AW$70)))</f>
      </c>
      <c r="BG77" t="s" s="291">
        <f>TRIM(MID(SUBSTITUTE($AW$71,$BA$62,REPT(" ",LEN($AW$71))),($BA77-1)*LEN($AW$71)+1,LEN($AW$71)))</f>
      </c>
      <c r="BH77" t="s" s="291">
        <f>TRIM(MID(SUBSTITUTE($AW$72,$BA$62,REPT(" ",LEN($AW$72))),($BA77-1)*LEN($AW$72)+1,LEN($AW$72)))</f>
      </c>
      <c r="BI77" t="s" s="291">
        <f>TRIM(MID(SUBSTITUTE($AW$73,$BA$62,REPT(" ",LEN($AW$73))),($BA77-1)*LEN($AW$73)+1,LEN($AW$73)))</f>
      </c>
      <c r="BJ77" t="s" s="291">
        <f>TRIM(MID(SUBSTITUTE($AW$74,$BA$62,REPT(" ",LEN($AW$74))),($BA77-1)*LEN($AW$74)+1,LEN($AW$74)))</f>
      </c>
      <c r="BK77" t="s" s="291">
        <f>TRIM(MID(SUBSTITUTE($AW$75,$BA$62,REPT(" ",LEN($AW$75))),($BA77-1)*LEN($AW$75)+1,LEN($AW$75)))</f>
      </c>
      <c r="BL77" t="s" s="291">
        <f>TRIM(MID(SUBSTITUTE($AW$76,$BA$62,REPT(" ",LEN($AW$76))),($BA77-1)*LEN($AW$76)+1,LEN($AW$76)))</f>
      </c>
      <c r="BM77" t="s" s="291">
        <f>TRIM(MID(SUBSTITUTE($AW$77,$BA$62,REPT(" ",LEN($AW$77))),($BA77-1)*LEN($AW$77)+1,LEN($AW$77)))</f>
      </c>
      <c r="BN77" t="s" s="291">
        <f>TRIM(MID(SUBSTITUTE($AW$78,$BA$62,REPT(" ",LEN($AW$78))),($BA77-1)*LEN($AW$78)+1,LEN($AW$78)))</f>
      </c>
      <c r="BO77" t="s" s="291">
        <f>TRIM(MID(SUBSTITUTE($AW$79,$BA$62,REPT(" ",LEN($AW$79))),($BA77-1)*LEN($AW$79)+1,LEN($AW$79)))</f>
      </c>
      <c r="BP77" t="s" s="291">
        <f>TRIM(MID(SUBSTITUTE($AW$80,$BA$62,REPT(" ",LEN($AW$80))),($BA77-1)*LEN($AW$80)+1,LEN($AW$80)))</f>
      </c>
      <c r="BQ77" t="s" s="291">
        <f>TRIM(MID(SUBSTITUTE($AW$81,$BA$62,REPT(" ",LEN($AW$81))),($BA77-1)*LEN($AW$81)+1,LEN($AW$81)))</f>
      </c>
      <c r="BR77" t="s" s="291">
        <f>TRIM(MID(SUBSTITUTE($AW$82,$BA$62,REPT(" ",LEN($AW$82))),($BA77-1)*LEN($AW$82)+1,LEN($AW$82)))</f>
      </c>
      <c r="BS77" t="s" s="291">
        <f>TRIM(MID(SUBSTITUTE($AW$83,$BA$62,REPT(" ",LEN($AW$83))),($BA77-1)*LEN($AW$83)+1,LEN($AW$83)))</f>
      </c>
      <c r="BT77" t="s" s="291">
        <f>TRIM(MID(SUBSTITUTE($AW$84,$BA$62,REPT(" ",LEN($AW$84))),($BA77-1)*LEN($AW$84)+1,LEN($AW$84)))</f>
      </c>
      <c r="BU77" t="s" s="313">
        <f>TRIM(MID(SUBSTITUTE($AW$85,$BA$62,REPT(" ",LEN($AW$85))),($BA77-1)*LEN($AW$85)+1,LEN($AW$85)))</f>
      </c>
      <c r="BV77" t="s" s="285">
        <f>IF(BX77=0,"",CONCATENATE(BW77,"66:",BW77,BX77+65))</f>
      </c>
      <c r="BW77" t="s" s="291">
        <v>235</v>
      </c>
      <c r="BX77" s="518">
        <f>BM64</f>
        <v>0</v>
      </c>
    </row>
    <row r="78" ht="15.6" customHeight="1">
      <c r="A78" s="379"/>
      <c r="B78" s="296">
        <v>13</v>
      </c>
      <c r="C78" t="s" s="519">
        <f>IF(D78="","",C23)</f>
      </c>
      <c r="D78" t="s" s="520">
        <f>IF(OR(K23="",K23=0),"",D23)</f>
      </c>
      <c r="E78" t="s" s="521">
        <f>IF(AX78="","",AX78)</f>
      </c>
      <c r="F78" s="314"/>
      <c r="G78" s="315"/>
      <c r="H78" s="501"/>
      <c r="I78" t="s" s="502">
        <f>IF(OR(K23="",K23=0),"",K23)</f>
      </c>
      <c r="J78" t="s" s="503">
        <f>_xlfn.IFERROR(IF(F78="","",VLOOKUP(F78,'10. Condition and Temporal'!$B$6:$F$103,5,FALSE)),"Error ▲")</f>
      </c>
      <c r="K78" s="504"/>
      <c r="L78" t="s" s="418">
        <f>_xlfn.IFERROR(IF(D78="","",IF(AX78="Distinctiveness",(((((I78*AH78*AJ78)-(I78*V78*X78))*(AV78*AT78))+(I78*V78*X78))*AP78/1000),((((I78*AH78*AJ78)-(I78*V78*X78))*(AV78*AR78))+(I78*V78*X78))*AP78/1000)),"This intervention is not permitted within the SSM ▲")</f>
      </c>
      <c r="M78" t="s" s="724">
        <f>_xlfn.IFERROR(IF(F78="","",L78-AD78),"Error ▲")</f>
      </c>
      <c r="N78" s="700"/>
      <c r="O78" s="415"/>
      <c r="P78" s="315"/>
      <c r="Q78" s="380"/>
      <c r="R78" s="219"/>
      <c r="S78" s="381"/>
      <c r="T78" t="s" s="295">
        <f>IF(D78="","",K23)</f>
      </c>
      <c r="U78" t="s" s="285">
        <f>IF($D78="","",T23)</f>
      </c>
      <c r="V78" t="s" s="313">
        <f>IF($D78="","",V23)</f>
      </c>
      <c r="W78" t="s" s="285">
        <f>IF($D78="","",W23)</f>
      </c>
      <c r="X78" t="s" s="291">
        <f>IF($D78="","",X23)</f>
      </c>
      <c r="Y78" s="511"/>
      <c r="Z78" s="511"/>
      <c r="AA78" s="511"/>
      <c r="AB78" t="s" s="291">
        <f>IF($D78="","",AB23)</f>
      </c>
      <c r="AC78" t="s" s="291">
        <f>IF($D78="","",AD23)</f>
      </c>
      <c r="AD78" t="s" s="313">
        <f>IF(AC78="","",(T78*V78*X78)*AC78/1000)</f>
      </c>
      <c r="AE78" t="s" s="295">
        <f>IF(AD78="","",IF(AH78&lt;V78,"Not Acceptable","Acceptable"))</f>
      </c>
      <c r="AF78" t="s" s="295">
        <f>IF(D78="","",I78)</f>
      </c>
      <c r="AG78" t="s" s="285">
        <f>IF(D78="","",VLOOKUP(F78,'9. All Habitats + Multipliers'!$C$4:$K$102,5,FALSE))</f>
      </c>
      <c r="AH78" t="s" s="313">
        <f>IF(AG78="","",VLOOKUP(AG78,'11. Lists'!$S$47:$U$50,2,FALSE))</f>
      </c>
      <c r="AI78" t="s" s="295">
        <f>IF(D78="","",J78)</f>
      </c>
      <c r="AJ78" t="s" s="285">
        <f>IF(AI78="","",VLOOKUP(AI78,'11. Lists'!$F$47:$G$51,2,FALSE))</f>
      </c>
      <c r="AK78" s="511"/>
      <c r="AL78" s="511"/>
      <c r="AM78" s="511"/>
      <c r="AN78" t="s" s="313">
        <f>IF(H78="","",H78)</f>
      </c>
      <c r="AO78" t="s" s="285">
        <f>IF(AN78="","",VLOOKUP(AN78,'11. Lists'!$F$36:$H$38,2,FALSE))</f>
      </c>
      <c r="AP78" t="s" s="313">
        <f>IF(AN78="","",VLOOKUP(AN78,'11. Lists'!$F$36:$H$38,3,FALSE))</f>
      </c>
      <c r="AQ78" t="s" s="285">
        <f>IF(D78="","",IF(AX78="Distinctiveness","N/A",VLOOKUP(F78,'10. Condition and Temporal'!$B$6:$L$103,11,FALSE)))</f>
      </c>
      <c r="AR78" t="s" s="313">
        <f>IF(AQ78="","",IF(AQ78="N/A","1",VLOOKUP(AQ78,'11. Lists'!$I$47:$K$80,3,FALSE)))</f>
      </c>
      <c r="AS78" t="s" s="285">
        <f>IF(D78="","",IF(AX78="Condition","N/A",VLOOKUP(F78,'10. Condition and Temporal'!$B$6:$M$106,12,FALSE)))</f>
      </c>
      <c r="AT78" t="s" s="313">
        <f>IF(AS78="","",IF(AS78="N/A","1",VLOOKUP(AS78,'11. Lists'!$I$47:$K$80,3,FALSE)))</f>
      </c>
      <c r="AU78" t="s" s="285">
        <f>IF(D78="","",VLOOKUP(F78,'9. All Habitats + Multipliers'!$C$4:$K$102,8,FALSE))</f>
      </c>
      <c r="AV78" t="s" s="313">
        <f>IF(AU78="","",VLOOKUP(AU78,'11. Lists'!$J$35:$K$38,2,FALSE))</f>
      </c>
      <c r="AW78" t="s" s="285">
        <f>IF(D78="","",VLOOKUP(D78,'10. Condition and Temporal'!$B$6:$M$103,4,FALSE))</f>
      </c>
      <c r="AX78" t="s" s="313">
        <f>IF(F78="","",IF(D78=F78,"Condition","Distinctiveness"))</f>
      </c>
      <c r="AY78" s="380"/>
      <c r="AZ78" s="723"/>
      <c r="BA78" s="401">
        <v>13</v>
      </c>
      <c r="BB78" t="s" s="291">
        <f>TRIM(MID(SUBSTITUTE($AW$66,$BA$62,REPT(" ",LEN($AW$66))),($BA78-1)*LEN($AW$66)+1,LEN($AW$66)))</f>
      </c>
      <c r="BC78" t="s" s="291">
        <f>TRIM(MID(SUBSTITUTE($AW$67,$BA$62,REPT(" ",LEN($AW$67))),($BA78-1)*LEN($AW$67)+1,LEN($AW$67)))</f>
      </c>
      <c r="BD78" t="s" s="291">
        <f>TRIM(MID(SUBSTITUTE($AW$68,$BA$62,REPT(" ",LEN($AW$68))),($BA78-1)*LEN($AW$68)+1,LEN($AW$68)))</f>
      </c>
      <c r="BE78" t="s" s="291">
        <f>TRIM(MID(SUBSTITUTE($AW$69,$BA$62,REPT(" ",LEN($AW$69))),($BA78-1)*LEN($AW$69)+1,LEN($AW$69)))</f>
      </c>
      <c r="BF78" t="s" s="291">
        <f>TRIM(MID(SUBSTITUTE($AW$70,$BA$62,REPT(" ",LEN($AW$70))),($BA78-1)*LEN($AW$70)+1,LEN($AW$70)))</f>
      </c>
      <c r="BG78" t="s" s="291">
        <f>TRIM(MID(SUBSTITUTE($AW$71,$BA$62,REPT(" ",LEN($AW$71))),($BA78-1)*LEN($AW$71)+1,LEN($AW$71)))</f>
      </c>
      <c r="BH78" t="s" s="291">
        <f>TRIM(MID(SUBSTITUTE($AW$72,$BA$62,REPT(" ",LEN($AW$72))),($BA78-1)*LEN($AW$72)+1,LEN($AW$72)))</f>
      </c>
      <c r="BI78" t="s" s="291">
        <f>TRIM(MID(SUBSTITUTE($AW$73,$BA$62,REPT(" ",LEN($AW$73))),($BA78-1)*LEN($AW$73)+1,LEN($AW$73)))</f>
      </c>
      <c r="BJ78" t="s" s="291">
        <f>TRIM(MID(SUBSTITUTE($AW$74,$BA$62,REPT(" ",LEN($AW$74))),($BA78-1)*LEN($AW$74)+1,LEN($AW$74)))</f>
      </c>
      <c r="BK78" t="s" s="291">
        <f>TRIM(MID(SUBSTITUTE($AW$75,$BA$62,REPT(" ",LEN($AW$75))),($BA78-1)*LEN($AW$75)+1,LEN($AW$75)))</f>
      </c>
      <c r="BL78" t="s" s="291">
        <f>TRIM(MID(SUBSTITUTE($AW$76,$BA$62,REPT(" ",LEN($AW$76))),($BA78-1)*LEN($AW$76)+1,LEN($AW$76)))</f>
      </c>
      <c r="BM78" t="s" s="291">
        <f>TRIM(MID(SUBSTITUTE($AW$77,$BA$62,REPT(" ",LEN($AW$77))),($BA78-1)*LEN($AW$77)+1,LEN($AW$77)))</f>
      </c>
      <c r="BN78" t="s" s="291">
        <f>TRIM(MID(SUBSTITUTE($AW$78,$BA$62,REPT(" ",LEN($AW$78))),($BA78-1)*LEN($AW$78)+1,LEN($AW$78)))</f>
      </c>
      <c r="BO78" t="s" s="291">
        <f>TRIM(MID(SUBSTITUTE($AW$79,$BA$62,REPT(" ",LEN($AW$79))),($BA78-1)*LEN($AW$79)+1,LEN($AW$79)))</f>
      </c>
      <c r="BP78" t="s" s="291">
        <f>TRIM(MID(SUBSTITUTE($AW$80,$BA$62,REPT(" ",LEN($AW$80))),($BA78-1)*LEN($AW$80)+1,LEN($AW$80)))</f>
      </c>
      <c r="BQ78" t="s" s="291">
        <f>TRIM(MID(SUBSTITUTE($AW$81,$BA$62,REPT(" ",LEN($AW$81))),($BA78-1)*LEN($AW$81)+1,LEN($AW$81)))</f>
      </c>
      <c r="BR78" t="s" s="291">
        <f>TRIM(MID(SUBSTITUTE($AW$82,$BA$62,REPT(" ",LEN($AW$82))),($BA78-1)*LEN($AW$82)+1,LEN($AW$82)))</f>
      </c>
      <c r="BS78" t="s" s="291">
        <f>TRIM(MID(SUBSTITUTE($AW$83,$BA$62,REPT(" ",LEN($AW$83))),($BA78-1)*LEN($AW$83)+1,LEN($AW$83)))</f>
      </c>
      <c r="BT78" t="s" s="291">
        <f>TRIM(MID(SUBSTITUTE($AW$84,$BA$62,REPT(" ",LEN($AW$84))),($BA78-1)*LEN($AW$84)+1,LEN($AW$84)))</f>
      </c>
      <c r="BU78" t="s" s="313">
        <f>TRIM(MID(SUBSTITUTE($AW$85,$BA$62,REPT(" ",LEN($AW$85))),($BA78-1)*LEN($AW$85)+1,LEN($AW$85)))</f>
      </c>
      <c r="BV78" t="s" s="285">
        <f>IF(BX78=0,"",CONCATENATE(BW78,"66:",BW78,BX78+65))</f>
      </c>
      <c r="BW78" t="s" s="291">
        <v>236</v>
      </c>
      <c r="BX78" s="518">
        <f>BN64</f>
        <v>0</v>
      </c>
    </row>
    <row r="79" ht="15.6" customHeight="1">
      <c r="A79" s="379"/>
      <c r="B79" s="296">
        <v>14</v>
      </c>
      <c r="C79" t="s" s="519">
        <f>IF(D79="","",C24)</f>
      </c>
      <c r="D79" t="s" s="520">
        <f>IF(OR(K24="",K24=0),"",D24)</f>
      </c>
      <c r="E79" t="s" s="521">
        <f>IF(AX79="","",AX79)</f>
      </c>
      <c r="F79" s="314"/>
      <c r="G79" s="315"/>
      <c r="H79" s="501"/>
      <c r="I79" t="s" s="502">
        <f>IF(OR(K24="",K24=0),"",K24)</f>
      </c>
      <c r="J79" t="s" s="503">
        <f>_xlfn.IFERROR(IF(F79="","",VLOOKUP(F79,'10. Condition and Temporal'!$B$6:$F$103,5,FALSE)),"Error ▲")</f>
      </c>
      <c r="K79" s="504"/>
      <c r="L79" t="s" s="418">
        <f>_xlfn.IFERROR(IF(D79="","",IF(AX79="Distinctiveness",(((((I79*AH79*AJ79)-(I79*V79*X79))*(AV79*AT79))+(I79*V79*X79))*AP79/1000),((((I79*AH79*AJ79)-(I79*V79*X79))*(AV79*AR79))+(I79*V79*X79))*AP79/1000)),"This intervention is not permitted within the SSM ▲")</f>
      </c>
      <c r="M79" t="s" s="724">
        <f>_xlfn.IFERROR(IF(F79="","",L79-AD79),"Error ▲")</f>
      </c>
      <c r="N79" s="700"/>
      <c r="O79" s="415"/>
      <c r="P79" s="315"/>
      <c r="Q79" s="380"/>
      <c r="R79" s="219"/>
      <c r="S79" s="381"/>
      <c r="T79" t="s" s="295">
        <f>IF(D79="","",K24)</f>
      </c>
      <c r="U79" t="s" s="285">
        <f>IF($D79="","",T24)</f>
      </c>
      <c r="V79" t="s" s="313">
        <f>IF($D79="","",V24)</f>
      </c>
      <c r="W79" t="s" s="285">
        <f>IF($D79="","",W24)</f>
      </c>
      <c r="X79" t="s" s="291">
        <f>IF($D79="","",X24)</f>
      </c>
      <c r="Y79" s="511"/>
      <c r="Z79" s="511"/>
      <c r="AA79" s="511"/>
      <c r="AB79" t="s" s="291">
        <f>IF($D79="","",AB24)</f>
      </c>
      <c r="AC79" t="s" s="291">
        <f>IF($D79="","",AD24)</f>
      </c>
      <c r="AD79" t="s" s="313">
        <f>IF(AC79="","",(T79*V79*X79)*AC79/1000)</f>
      </c>
      <c r="AE79" t="s" s="295">
        <f>IF(AD79="","",IF(AH79&lt;V79,"Not Acceptable","Acceptable"))</f>
      </c>
      <c r="AF79" t="s" s="295">
        <f>IF(D79="","",I79)</f>
      </c>
      <c r="AG79" t="s" s="285">
        <f>IF(D79="","",VLOOKUP(F79,'9. All Habitats + Multipliers'!$C$4:$K$102,5,FALSE))</f>
      </c>
      <c r="AH79" t="s" s="313">
        <f>IF(AG79="","",VLOOKUP(AG79,'11. Lists'!$S$47:$U$50,2,FALSE))</f>
      </c>
      <c r="AI79" t="s" s="295">
        <f>IF(D79="","",J79)</f>
      </c>
      <c r="AJ79" t="s" s="285">
        <f>IF(AI79="","",VLOOKUP(AI79,'11. Lists'!$F$47:$G$51,2,FALSE))</f>
      </c>
      <c r="AK79" s="511"/>
      <c r="AL79" s="511"/>
      <c r="AM79" s="511"/>
      <c r="AN79" t="s" s="313">
        <f>IF(H79="","",H79)</f>
      </c>
      <c r="AO79" t="s" s="285">
        <f>IF(AN79="","",VLOOKUP(AN79,'11. Lists'!$F$36:$H$38,2,FALSE))</f>
      </c>
      <c r="AP79" t="s" s="313">
        <f>IF(AN79="","",VLOOKUP(AN79,'11. Lists'!$F$36:$H$38,3,FALSE))</f>
      </c>
      <c r="AQ79" t="s" s="285">
        <f>IF(D79="","",IF(AX79="Distinctiveness","N/A",VLOOKUP(F79,'10. Condition and Temporal'!$B$6:$L$103,11,FALSE)))</f>
      </c>
      <c r="AR79" t="s" s="313">
        <f>IF(AQ79="","",IF(AQ79="N/A","1",VLOOKUP(AQ79,'11. Lists'!$I$47:$K$80,3,FALSE)))</f>
      </c>
      <c r="AS79" t="s" s="285">
        <f>IF(D79="","",IF(AX79="Condition","N/A",VLOOKUP(F79,'10. Condition and Temporal'!$B$6:$M$106,12,FALSE)))</f>
      </c>
      <c r="AT79" t="s" s="313">
        <f>IF(AS79="","",IF(AS79="N/A","1",VLOOKUP(AS79,'11. Lists'!$I$47:$K$80,3,FALSE)))</f>
      </c>
      <c r="AU79" t="s" s="285">
        <f>IF(D79="","",VLOOKUP(F79,'9. All Habitats + Multipliers'!$C$4:$K$102,8,FALSE))</f>
      </c>
      <c r="AV79" t="s" s="313">
        <f>IF(AU79="","",VLOOKUP(AU79,'11. Lists'!$J$35:$K$38,2,FALSE))</f>
      </c>
      <c r="AW79" t="s" s="285">
        <f>IF(D79="","",VLOOKUP(D79,'10. Condition and Temporal'!$B$6:$M$103,4,FALSE))</f>
      </c>
      <c r="AX79" t="s" s="313">
        <f>IF(F79="","",IF(D79=F79,"Condition","Distinctiveness"))</f>
      </c>
      <c r="AY79" s="380"/>
      <c r="AZ79" s="723"/>
      <c r="BA79" s="401">
        <v>14</v>
      </c>
      <c r="BB79" t="s" s="291">
        <f>TRIM(MID(SUBSTITUTE($AW$66,$BA$62,REPT(" ",LEN($AW$66))),($BA79-1)*LEN($AW$66)+1,LEN($AW$66)))</f>
      </c>
      <c r="BC79" t="s" s="291">
        <f>TRIM(MID(SUBSTITUTE($AW$67,$BA$62,REPT(" ",LEN($AW$67))),($BA79-1)*LEN($AW$67)+1,LEN($AW$67)))</f>
      </c>
      <c r="BD79" t="s" s="291">
        <f>TRIM(MID(SUBSTITUTE($AW$68,$BA$62,REPT(" ",LEN($AW$68))),($BA79-1)*LEN($AW$68)+1,LEN($AW$68)))</f>
      </c>
      <c r="BE79" t="s" s="291">
        <f>TRIM(MID(SUBSTITUTE($AW$69,$BA$62,REPT(" ",LEN($AW$69))),($BA79-1)*LEN($AW$69)+1,LEN($AW$69)))</f>
      </c>
      <c r="BF79" t="s" s="291">
        <f>TRIM(MID(SUBSTITUTE($AW$70,$BA$62,REPT(" ",LEN($AW$70))),($BA79-1)*LEN($AW$70)+1,LEN($AW$70)))</f>
      </c>
      <c r="BG79" t="s" s="291">
        <f>TRIM(MID(SUBSTITUTE($AW$71,$BA$62,REPT(" ",LEN($AW$71))),($BA79-1)*LEN($AW$71)+1,LEN($AW$71)))</f>
      </c>
      <c r="BH79" t="s" s="291">
        <f>TRIM(MID(SUBSTITUTE($AW$72,$BA$62,REPT(" ",LEN($AW$72))),($BA79-1)*LEN($AW$72)+1,LEN($AW$72)))</f>
      </c>
      <c r="BI79" t="s" s="291">
        <f>TRIM(MID(SUBSTITUTE($AW$73,$BA$62,REPT(" ",LEN($AW$73))),($BA79-1)*LEN($AW$73)+1,LEN($AW$73)))</f>
      </c>
      <c r="BJ79" t="s" s="291">
        <f>TRIM(MID(SUBSTITUTE($AW$74,$BA$62,REPT(" ",LEN($AW$74))),($BA79-1)*LEN($AW$74)+1,LEN($AW$74)))</f>
      </c>
      <c r="BK79" t="s" s="291">
        <f>TRIM(MID(SUBSTITUTE($AW$75,$BA$62,REPT(" ",LEN($AW$75))),($BA79-1)*LEN($AW$75)+1,LEN($AW$75)))</f>
      </c>
      <c r="BL79" t="s" s="291">
        <f>TRIM(MID(SUBSTITUTE($AW$76,$BA$62,REPT(" ",LEN($AW$76))),($BA79-1)*LEN($AW$76)+1,LEN($AW$76)))</f>
      </c>
      <c r="BM79" t="s" s="291">
        <f>TRIM(MID(SUBSTITUTE($AW$77,$BA$62,REPT(" ",LEN($AW$77))),($BA79-1)*LEN($AW$77)+1,LEN($AW$77)))</f>
      </c>
      <c r="BN79" t="s" s="291">
        <f>TRIM(MID(SUBSTITUTE($AW$78,$BA$62,REPT(" ",LEN($AW$78))),($BA79-1)*LEN($AW$78)+1,LEN($AW$78)))</f>
      </c>
      <c r="BO79" t="s" s="291">
        <f>TRIM(MID(SUBSTITUTE($AW$79,$BA$62,REPT(" ",LEN($AW$79))),($BA79-1)*LEN($AW$79)+1,LEN($AW$79)))</f>
      </c>
      <c r="BP79" t="s" s="291">
        <f>TRIM(MID(SUBSTITUTE($AW$80,$BA$62,REPT(" ",LEN($AW$80))),($BA79-1)*LEN($AW$80)+1,LEN($AW$80)))</f>
      </c>
      <c r="BQ79" t="s" s="291">
        <f>TRIM(MID(SUBSTITUTE($AW$81,$BA$62,REPT(" ",LEN($AW$81))),($BA79-1)*LEN($AW$81)+1,LEN($AW$81)))</f>
      </c>
      <c r="BR79" t="s" s="291">
        <f>TRIM(MID(SUBSTITUTE($AW$82,$BA$62,REPT(" ",LEN($AW$82))),($BA79-1)*LEN($AW$82)+1,LEN($AW$82)))</f>
      </c>
      <c r="BS79" t="s" s="291">
        <f>TRIM(MID(SUBSTITUTE($AW$83,$BA$62,REPT(" ",LEN($AW$83))),($BA79-1)*LEN($AW$83)+1,LEN($AW$83)))</f>
      </c>
      <c r="BT79" t="s" s="291">
        <f>TRIM(MID(SUBSTITUTE($AW$84,$BA$62,REPT(" ",LEN($AW$84))),($BA79-1)*LEN($AW$84)+1,LEN($AW$84)))</f>
      </c>
      <c r="BU79" t="s" s="313">
        <f>TRIM(MID(SUBSTITUTE($AW$85,$BA$62,REPT(" ",LEN($AW$85))),($BA79-1)*LEN($AW$85)+1,LEN($AW$85)))</f>
      </c>
      <c r="BV79" t="s" s="285">
        <f>IF(BX79=0,"",CONCATENATE(BW79,"66:",BW79,BX79+65))</f>
      </c>
      <c r="BW79" t="s" s="291">
        <v>237</v>
      </c>
      <c r="BX79" s="518">
        <f>BO64</f>
        <v>0</v>
      </c>
    </row>
    <row r="80" ht="15.6" customHeight="1">
      <c r="A80" s="379"/>
      <c r="B80" s="296">
        <v>15</v>
      </c>
      <c r="C80" t="s" s="519">
        <f>IF(D80="","",C25)</f>
      </c>
      <c r="D80" t="s" s="520">
        <f>IF(OR(K25="",K25=0),"",D25)</f>
      </c>
      <c r="E80" t="s" s="521">
        <f>IF(AX80="","",AX80)</f>
      </c>
      <c r="F80" s="314"/>
      <c r="G80" s="315"/>
      <c r="H80" s="501"/>
      <c r="I80" t="s" s="502">
        <f>IF(OR(K25="",K25=0),"",K25)</f>
      </c>
      <c r="J80" t="s" s="503">
        <f>_xlfn.IFERROR(IF(F80="","",VLOOKUP(F80,'10. Condition and Temporal'!$B$6:$F$103,5,FALSE)),"Error ▲")</f>
      </c>
      <c r="K80" s="504"/>
      <c r="L80" t="s" s="418">
        <f>_xlfn.IFERROR(IF(D80="","",IF(AX80="Distinctiveness",(((((I80*AH80*AJ80)-(I80*V80*X80))*(AV80*AT80))+(I80*V80*X80))*AP80/1000),((((I80*AH80*AJ80)-(I80*V80*X80))*(AV80*AR80))+(I80*V80*X80))*AP80/1000)),"This intervention is not permitted within the SSM ▲")</f>
      </c>
      <c r="M80" t="s" s="724">
        <f>_xlfn.IFERROR(IF(F80="","",L80-AD80),"Error ▲")</f>
      </c>
      <c r="N80" s="700"/>
      <c r="O80" s="415"/>
      <c r="P80" s="315"/>
      <c r="Q80" s="380"/>
      <c r="R80" s="219"/>
      <c r="S80" s="381"/>
      <c r="T80" t="s" s="295">
        <f>IF(D80="","",K25)</f>
      </c>
      <c r="U80" t="s" s="285">
        <f>IF($D80="","",T25)</f>
      </c>
      <c r="V80" t="s" s="313">
        <f>IF($D80="","",V25)</f>
      </c>
      <c r="W80" t="s" s="285">
        <f>IF($D80="","",W25)</f>
      </c>
      <c r="X80" t="s" s="291">
        <f>IF($D80="","",X25)</f>
      </c>
      <c r="Y80" s="511"/>
      <c r="Z80" s="511"/>
      <c r="AA80" s="511"/>
      <c r="AB80" t="s" s="291">
        <f>IF($D80="","",AB25)</f>
      </c>
      <c r="AC80" t="s" s="291">
        <f>IF($D80="","",AD25)</f>
      </c>
      <c r="AD80" t="s" s="313">
        <f>IF(AC80="","",(T80*V80*X80)*AC80/1000)</f>
      </c>
      <c r="AE80" t="s" s="295">
        <f>IF(AD80="","",IF(AH80&lt;V80,"Not Acceptable","Acceptable"))</f>
      </c>
      <c r="AF80" t="s" s="295">
        <f>IF(D80="","",I80)</f>
      </c>
      <c r="AG80" t="s" s="285">
        <f>IF(D80="","",VLOOKUP(F80,'9. All Habitats + Multipliers'!$C$4:$K$102,5,FALSE))</f>
      </c>
      <c r="AH80" t="s" s="313">
        <f>IF(AG80="","",VLOOKUP(AG80,'11. Lists'!$S$47:$U$50,2,FALSE))</f>
      </c>
      <c r="AI80" t="s" s="295">
        <f>IF(D80="","",J80)</f>
      </c>
      <c r="AJ80" t="s" s="285">
        <f>IF(AI80="","",VLOOKUP(AI80,'11. Lists'!$F$47:$G$51,2,FALSE))</f>
      </c>
      <c r="AK80" s="511"/>
      <c r="AL80" s="511"/>
      <c r="AM80" s="511"/>
      <c r="AN80" t="s" s="313">
        <f>IF(H80="","",H80)</f>
      </c>
      <c r="AO80" t="s" s="285">
        <f>IF(AN80="","",VLOOKUP(AN80,'11. Lists'!$F$36:$H$38,2,FALSE))</f>
      </c>
      <c r="AP80" t="s" s="313">
        <f>IF(AN80="","",VLOOKUP(AN80,'11. Lists'!$F$36:$H$38,3,FALSE))</f>
      </c>
      <c r="AQ80" t="s" s="285">
        <f>IF(D80="","",IF(AX80="Distinctiveness","N/A",VLOOKUP(F80,'10. Condition and Temporal'!$B$6:$L$103,11,FALSE)))</f>
      </c>
      <c r="AR80" t="s" s="313">
        <f>IF(AQ80="","",IF(AQ80="N/A","1",VLOOKUP(AQ80,'11. Lists'!$I$47:$K$80,3,FALSE)))</f>
      </c>
      <c r="AS80" t="s" s="285">
        <f>IF(D80="","",IF(AX80="Condition","N/A",VLOOKUP(F80,'10. Condition and Temporal'!$B$6:$M$106,12,FALSE)))</f>
      </c>
      <c r="AT80" t="s" s="313">
        <f>IF(AS80="","",IF(AS80="N/A","1",VLOOKUP(AS80,'11. Lists'!$I$47:$K$80,3,FALSE)))</f>
      </c>
      <c r="AU80" t="s" s="285">
        <f>IF(D80="","",VLOOKUP(F80,'9. All Habitats + Multipliers'!$C$4:$K$102,8,FALSE))</f>
      </c>
      <c r="AV80" t="s" s="313">
        <f>IF(AU80="","",VLOOKUP(AU80,'11. Lists'!$J$35:$K$38,2,FALSE))</f>
      </c>
      <c r="AW80" t="s" s="285">
        <f>IF(D80="","",VLOOKUP(D80,'10. Condition and Temporal'!$B$6:$M$103,4,FALSE))</f>
      </c>
      <c r="AX80" t="s" s="313">
        <f>IF(F80="","",IF(D80=F80,"Condition","Distinctiveness"))</f>
      </c>
      <c r="AY80" s="380"/>
      <c r="AZ80" s="723"/>
      <c r="BA80" s="401">
        <v>15</v>
      </c>
      <c r="BB80" t="s" s="291">
        <f>TRIM(MID(SUBSTITUTE($AW$66,$BA$62,REPT(" ",LEN($AW$66))),($BA80-1)*LEN($AW$66)+1,LEN($AW$66)))</f>
      </c>
      <c r="BC80" t="s" s="291">
        <f>TRIM(MID(SUBSTITUTE($AW$67,$BA$62,REPT(" ",LEN($AW$67))),($BA80-1)*LEN($AW$67)+1,LEN($AW$67)))</f>
      </c>
      <c r="BD80" t="s" s="291">
        <f>TRIM(MID(SUBSTITUTE($AW$68,$BA$62,REPT(" ",LEN($AW$68))),($BA80-1)*LEN($AW$68)+1,LEN($AW$68)))</f>
      </c>
      <c r="BE80" t="s" s="291">
        <f>TRIM(MID(SUBSTITUTE($AW$69,$BA$62,REPT(" ",LEN($AW$69))),($BA80-1)*LEN($AW$69)+1,LEN($AW$69)))</f>
      </c>
      <c r="BF80" t="s" s="291">
        <f>TRIM(MID(SUBSTITUTE($AW$70,$BA$62,REPT(" ",LEN($AW$70))),($BA80-1)*LEN($AW$70)+1,LEN($AW$70)))</f>
      </c>
      <c r="BG80" t="s" s="291">
        <f>TRIM(MID(SUBSTITUTE($AW$71,$BA$62,REPT(" ",LEN($AW$71))),($BA80-1)*LEN($AW$71)+1,LEN($AW$71)))</f>
      </c>
      <c r="BH80" t="s" s="291">
        <f>TRIM(MID(SUBSTITUTE($AW$72,$BA$62,REPT(" ",LEN($AW$72))),($BA80-1)*LEN($AW$72)+1,LEN($AW$72)))</f>
      </c>
      <c r="BI80" t="s" s="291">
        <f>TRIM(MID(SUBSTITUTE($AW$73,$BA$62,REPT(" ",LEN($AW$73))),($BA80-1)*LEN($AW$73)+1,LEN($AW$73)))</f>
      </c>
      <c r="BJ80" t="s" s="291">
        <f>TRIM(MID(SUBSTITUTE($AW$74,$BA$62,REPT(" ",LEN($AW$74))),($BA80-1)*LEN($AW$74)+1,LEN($AW$74)))</f>
      </c>
      <c r="BK80" t="s" s="291">
        <f>TRIM(MID(SUBSTITUTE($AW$75,$BA$62,REPT(" ",LEN($AW$75))),($BA80-1)*LEN($AW$75)+1,LEN($AW$75)))</f>
      </c>
      <c r="BL80" t="s" s="291">
        <f>TRIM(MID(SUBSTITUTE($AW$76,$BA$62,REPT(" ",LEN($AW$76))),($BA80-1)*LEN($AW$76)+1,LEN($AW$76)))</f>
      </c>
      <c r="BM80" t="s" s="291">
        <f>TRIM(MID(SUBSTITUTE($AW$77,$BA$62,REPT(" ",LEN($AW$77))),($BA80-1)*LEN($AW$77)+1,LEN($AW$77)))</f>
      </c>
      <c r="BN80" t="s" s="291">
        <f>TRIM(MID(SUBSTITUTE($AW$78,$BA$62,REPT(" ",LEN($AW$78))),($BA80-1)*LEN($AW$78)+1,LEN($AW$78)))</f>
      </c>
      <c r="BO80" t="s" s="291">
        <f>TRIM(MID(SUBSTITUTE($AW$79,$BA$62,REPT(" ",LEN($AW$79))),($BA80-1)*LEN($AW$79)+1,LEN($AW$79)))</f>
      </c>
      <c r="BP80" t="s" s="291">
        <f>TRIM(MID(SUBSTITUTE($AW$80,$BA$62,REPT(" ",LEN($AW$80))),($BA80-1)*LEN($AW$80)+1,LEN($AW$80)))</f>
      </c>
      <c r="BQ80" t="s" s="291">
        <f>TRIM(MID(SUBSTITUTE($AW$81,$BA$62,REPT(" ",LEN($AW$81))),($BA80-1)*LEN($AW$81)+1,LEN($AW$81)))</f>
      </c>
      <c r="BR80" t="s" s="291">
        <f>TRIM(MID(SUBSTITUTE($AW$82,$BA$62,REPT(" ",LEN($AW$82))),($BA80-1)*LEN($AW$82)+1,LEN($AW$82)))</f>
      </c>
      <c r="BS80" t="s" s="291">
        <f>TRIM(MID(SUBSTITUTE($AW$83,$BA$62,REPT(" ",LEN($AW$83))),($BA80-1)*LEN($AW$83)+1,LEN($AW$83)))</f>
      </c>
      <c r="BT80" t="s" s="291">
        <f>TRIM(MID(SUBSTITUTE($AW$84,$BA$62,REPT(" ",LEN($AW$84))),($BA80-1)*LEN($AW$84)+1,LEN($AW$84)))</f>
      </c>
      <c r="BU80" t="s" s="313">
        <f>TRIM(MID(SUBSTITUTE($AW$85,$BA$62,REPT(" ",LEN($AW$85))),($BA80-1)*LEN($AW$85)+1,LEN($AW$85)))</f>
      </c>
      <c r="BV80" t="s" s="285">
        <f>IF(BX80=0,"",CONCATENATE(BW80,"66:",BW80,BX80+65))</f>
      </c>
      <c r="BW80" t="s" s="291">
        <v>238</v>
      </c>
      <c r="BX80" s="518">
        <f>BP64</f>
        <v>0</v>
      </c>
    </row>
    <row r="81" ht="15.6" customHeight="1">
      <c r="A81" s="379"/>
      <c r="B81" s="296">
        <v>16</v>
      </c>
      <c r="C81" t="s" s="519">
        <f>IF(D81="","",C26)</f>
      </c>
      <c r="D81" t="s" s="520">
        <f>IF(OR(K26="",K26=0),"",D26)</f>
      </c>
      <c r="E81" t="s" s="521">
        <f>IF(AX81="","",AX81)</f>
      </c>
      <c r="F81" s="314"/>
      <c r="G81" s="315"/>
      <c r="H81" s="501"/>
      <c r="I81" t="s" s="502">
        <f>IF(OR(K26="",K26=0),"",K26)</f>
      </c>
      <c r="J81" t="s" s="503">
        <f>_xlfn.IFERROR(IF(F81="","",VLOOKUP(F81,'10. Condition and Temporal'!$B$6:$F$103,5,FALSE)),"Error ▲")</f>
      </c>
      <c r="K81" s="504"/>
      <c r="L81" t="s" s="418">
        <f>_xlfn.IFERROR(IF(D81="","",IF(AX81="Distinctiveness",(((((I81*AH81*AJ81)-(I81*V81*X81))*(AV81*AT81))+(I81*V81*X81))*AP81/1000),((((I81*AH81*AJ81)-(I81*V81*X81))*(AV81*AR81))+(I81*V81*X81))*AP81/1000)),"This intervention is not permitted within the SSM ▲")</f>
      </c>
      <c r="M81" t="s" s="724">
        <f>_xlfn.IFERROR(IF(F81="","",L81-AD81),"Error ▲")</f>
      </c>
      <c r="N81" s="700"/>
      <c r="O81" s="415"/>
      <c r="P81" s="315"/>
      <c r="Q81" s="380"/>
      <c r="R81" s="219"/>
      <c r="S81" s="381"/>
      <c r="T81" t="s" s="295">
        <f>IF(D81="","",K26)</f>
      </c>
      <c r="U81" t="s" s="285">
        <f>IF($D81="","",T26)</f>
      </c>
      <c r="V81" t="s" s="313">
        <f>IF($D81="","",V26)</f>
      </c>
      <c r="W81" t="s" s="285">
        <f>IF($D81="","",W26)</f>
      </c>
      <c r="X81" t="s" s="291">
        <f>IF($D81="","",X26)</f>
      </c>
      <c r="Y81" s="511"/>
      <c r="Z81" s="511"/>
      <c r="AA81" s="511"/>
      <c r="AB81" t="s" s="291">
        <f>IF($D81="","",AB26)</f>
      </c>
      <c r="AC81" t="s" s="291">
        <f>IF($D81="","",AD26)</f>
      </c>
      <c r="AD81" t="s" s="313">
        <f>IF(AC81="","",(T81*V81*X81)*AC81/1000)</f>
      </c>
      <c r="AE81" t="s" s="295">
        <f>IF(AD81="","",IF(AH81&lt;V81,"Not Acceptable","Acceptable"))</f>
      </c>
      <c r="AF81" t="s" s="295">
        <f>IF(D81="","",I81)</f>
      </c>
      <c r="AG81" t="s" s="285">
        <f>IF(D81="","",VLOOKUP(F81,'9. All Habitats + Multipliers'!$C$4:$K$102,5,FALSE))</f>
      </c>
      <c r="AH81" t="s" s="313">
        <f>IF(AG81="","",VLOOKUP(AG81,'11. Lists'!$S$47:$U$50,2,FALSE))</f>
      </c>
      <c r="AI81" t="s" s="295">
        <f>IF(D81="","",J81)</f>
      </c>
      <c r="AJ81" t="s" s="285">
        <f>IF(AI81="","",VLOOKUP(AI81,'11. Lists'!$F$47:$G$51,2,FALSE))</f>
      </c>
      <c r="AK81" s="511"/>
      <c r="AL81" s="511"/>
      <c r="AM81" s="511"/>
      <c r="AN81" t="s" s="313">
        <f>IF(H81="","",H81)</f>
      </c>
      <c r="AO81" t="s" s="285">
        <f>IF(AN81="","",VLOOKUP(AN81,'11. Lists'!$F$36:$H$38,2,FALSE))</f>
      </c>
      <c r="AP81" t="s" s="313">
        <f>IF(AN81="","",VLOOKUP(AN81,'11. Lists'!$F$36:$H$38,3,FALSE))</f>
      </c>
      <c r="AQ81" t="s" s="285">
        <f>IF(D81="","",IF(AX81="Distinctiveness","N/A",VLOOKUP(F81,'10. Condition and Temporal'!$B$6:$L$103,11,FALSE)))</f>
      </c>
      <c r="AR81" t="s" s="313">
        <f>IF(AQ81="","",IF(AQ81="N/A","1",VLOOKUP(AQ81,'11. Lists'!$I$47:$K$80,3,FALSE)))</f>
      </c>
      <c r="AS81" t="s" s="285">
        <f>IF(D81="","",IF(AX81="Condition","N/A",VLOOKUP(F81,'10. Condition and Temporal'!$B$6:$M$106,12,FALSE)))</f>
      </c>
      <c r="AT81" t="s" s="313">
        <f>IF(AS81="","",IF(AS81="N/A","1",VLOOKUP(AS81,'11. Lists'!$I$47:$K$80,3,FALSE)))</f>
      </c>
      <c r="AU81" t="s" s="285">
        <f>IF(D81="","",VLOOKUP(F81,'9. All Habitats + Multipliers'!$C$4:$K$102,8,FALSE))</f>
      </c>
      <c r="AV81" t="s" s="313">
        <f>IF(AU81="","",VLOOKUP(AU81,'11. Lists'!$J$35:$K$38,2,FALSE))</f>
      </c>
      <c r="AW81" t="s" s="285">
        <f>IF(D81="","",VLOOKUP(D81,'10. Condition and Temporal'!$B$6:$M$103,4,FALSE))</f>
      </c>
      <c r="AX81" t="s" s="313">
        <f>IF(F81="","",IF(D81=F81,"Condition","Distinctiveness"))</f>
      </c>
      <c r="AY81" s="380"/>
      <c r="AZ81" s="723"/>
      <c r="BA81" s="401">
        <v>16</v>
      </c>
      <c r="BB81" t="s" s="291">
        <f>TRIM(MID(SUBSTITUTE($AW$66,$BA$62,REPT(" ",LEN($AW$66))),($BA81-1)*LEN($AW$66)+1,LEN($AW$66)))</f>
      </c>
      <c r="BC81" t="s" s="291">
        <f>TRIM(MID(SUBSTITUTE($AW$67,$BA$62,REPT(" ",LEN($AW$67))),($BA81-1)*LEN($AW$67)+1,LEN($AW$67)))</f>
      </c>
      <c r="BD81" t="s" s="291">
        <f>TRIM(MID(SUBSTITUTE($AW$68,$BA$62,REPT(" ",LEN($AW$68))),($BA81-1)*LEN($AW$68)+1,LEN($AW$68)))</f>
      </c>
      <c r="BE81" t="s" s="291">
        <f>TRIM(MID(SUBSTITUTE($AW$69,$BA$62,REPT(" ",LEN($AW$69))),($BA81-1)*LEN($AW$69)+1,LEN($AW$69)))</f>
      </c>
      <c r="BF81" t="s" s="291">
        <f>TRIM(MID(SUBSTITUTE($AW$70,$BA$62,REPT(" ",LEN($AW$70))),($BA81-1)*LEN($AW$70)+1,LEN($AW$70)))</f>
      </c>
      <c r="BG81" t="s" s="291">
        <f>TRIM(MID(SUBSTITUTE($AW$71,$BA$62,REPT(" ",LEN($AW$71))),($BA81-1)*LEN($AW$71)+1,LEN($AW$71)))</f>
      </c>
      <c r="BH81" t="s" s="291">
        <f>TRIM(MID(SUBSTITUTE($AW$72,$BA$62,REPT(" ",LEN($AW$72))),($BA81-1)*LEN($AW$72)+1,LEN($AW$72)))</f>
      </c>
      <c r="BI81" t="s" s="291">
        <f>TRIM(MID(SUBSTITUTE($AW$73,$BA$62,REPT(" ",LEN($AW$73))),($BA81-1)*LEN($AW$73)+1,LEN($AW$73)))</f>
      </c>
      <c r="BJ81" t="s" s="291">
        <f>TRIM(MID(SUBSTITUTE($AW$74,$BA$62,REPT(" ",LEN($AW$74))),($BA81-1)*LEN($AW$74)+1,LEN($AW$74)))</f>
      </c>
      <c r="BK81" t="s" s="291">
        <f>TRIM(MID(SUBSTITUTE($AW$75,$BA$62,REPT(" ",LEN($AW$75))),($BA81-1)*LEN($AW$75)+1,LEN($AW$75)))</f>
      </c>
      <c r="BL81" t="s" s="291">
        <f>TRIM(MID(SUBSTITUTE($AW$76,$BA$62,REPT(" ",LEN($AW$76))),($BA81-1)*LEN($AW$76)+1,LEN($AW$76)))</f>
      </c>
      <c r="BM81" t="s" s="291">
        <f>TRIM(MID(SUBSTITUTE($AW$77,$BA$62,REPT(" ",LEN($AW$77))),($BA81-1)*LEN($AW$77)+1,LEN($AW$77)))</f>
      </c>
      <c r="BN81" t="s" s="291">
        <f>TRIM(MID(SUBSTITUTE($AW$78,$BA$62,REPT(" ",LEN($AW$78))),($BA81-1)*LEN($AW$78)+1,LEN($AW$78)))</f>
      </c>
      <c r="BO81" t="s" s="291">
        <f>TRIM(MID(SUBSTITUTE($AW$79,$BA$62,REPT(" ",LEN($AW$79))),($BA81-1)*LEN($AW$79)+1,LEN($AW$79)))</f>
      </c>
      <c r="BP81" t="s" s="291">
        <f>TRIM(MID(SUBSTITUTE($AW$80,$BA$62,REPT(" ",LEN($AW$80))),($BA81-1)*LEN($AW$80)+1,LEN($AW$80)))</f>
      </c>
      <c r="BQ81" t="s" s="291">
        <f>TRIM(MID(SUBSTITUTE($AW$81,$BA$62,REPT(" ",LEN($AW$81))),($BA81-1)*LEN($AW$81)+1,LEN($AW$81)))</f>
      </c>
      <c r="BR81" t="s" s="291">
        <f>TRIM(MID(SUBSTITUTE($AW$82,$BA$62,REPT(" ",LEN($AW$82))),($BA81-1)*LEN($AW$82)+1,LEN($AW$82)))</f>
      </c>
      <c r="BS81" t="s" s="291">
        <f>TRIM(MID(SUBSTITUTE($AW$83,$BA$62,REPT(" ",LEN($AW$83))),($BA81-1)*LEN($AW$83)+1,LEN($AW$83)))</f>
      </c>
      <c r="BT81" t="s" s="291">
        <f>TRIM(MID(SUBSTITUTE($AW$84,$BA$62,REPT(" ",LEN($AW$84))),($BA81-1)*LEN($AW$84)+1,LEN($AW$84)))</f>
      </c>
      <c r="BU81" t="s" s="313">
        <f>TRIM(MID(SUBSTITUTE($AW$85,$BA$62,REPT(" ",LEN($AW$85))),($BA81-1)*LEN($AW$85)+1,LEN($AW$85)))</f>
      </c>
      <c r="BV81" t="s" s="285">
        <f>IF(BX81=0,"",CONCATENATE(BW81,"66:",BW81,BX81+65))</f>
      </c>
      <c r="BW81" t="s" s="291">
        <v>239</v>
      </c>
      <c r="BX81" s="518">
        <f>BQ64</f>
        <v>0</v>
      </c>
    </row>
    <row r="82" ht="15.6" customHeight="1">
      <c r="A82" s="379"/>
      <c r="B82" s="296">
        <v>17</v>
      </c>
      <c r="C82" t="s" s="519">
        <f>IF(D82="","",C27)</f>
      </c>
      <c r="D82" t="s" s="520">
        <f>IF(OR(K27="",K27=0),"",D27)</f>
      </c>
      <c r="E82" t="s" s="521">
        <f>IF(AX82="","",AX82)</f>
      </c>
      <c r="F82" s="314"/>
      <c r="G82" s="315"/>
      <c r="H82" s="501"/>
      <c r="I82" t="s" s="502">
        <f>IF(OR(K27="",K27=0),"",K27)</f>
      </c>
      <c r="J82" t="s" s="503">
        <f>_xlfn.IFERROR(IF(F82="","",VLOOKUP(F82,'10. Condition and Temporal'!$B$6:$F$103,5,FALSE)),"Error ▲")</f>
      </c>
      <c r="K82" s="504"/>
      <c r="L82" t="s" s="418">
        <f>_xlfn.IFERROR(IF(D82="","",IF(AX82="Distinctiveness",(((((I82*AH82*AJ82)-(I82*V82*X82))*(AV82*AT82))+(I82*V82*X82))*AP82/1000),((((I82*AH82*AJ82)-(I82*V82*X82))*(AV82*AR82))+(I82*V82*X82))*AP82/1000)),"This intervention is not permitted within the SSM ▲")</f>
      </c>
      <c r="M82" t="s" s="724">
        <f>_xlfn.IFERROR(IF(F82="","",L82-AD82),"Error ▲")</f>
      </c>
      <c r="N82" s="700"/>
      <c r="O82" s="415"/>
      <c r="P82" s="315"/>
      <c r="Q82" s="380"/>
      <c r="R82" s="219"/>
      <c r="S82" s="381"/>
      <c r="T82" t="s" s="295">
        <f>IF(D82="","",K27)</f>
      </c>
      <c r="U82" t="s" s="285">
        <f>IF($D82="","",T27)</f>
      </c>
      <c r="V82" t="s" s="313">
        <f>IF($D82="","",V27)</f>
      </c>
      <c r="W82" t="s" s="285">
        <f>IF($D82="","",W27)</f>
      </c>
      <c r="X82" t="s" s="291">
        <f>IF($D82="","",X27)</f>
      </c>
      <c r="Y82" s="511"/>
      <c r="Z82" s="511"/>
      <c r="AA82" s="511"/>
      <c r="AB82" t="s" s="291">
        <f>IF($D82="","",AB27)</f>
      </c>
      <c r="AC82" t="s" s="291">
        <f>IF($D82="","",AD27)</f>
      </c>
      <c r="AD82" t="s" s="313">
        <f>IF(AC82="","",(T82*V82*X82)*AC82/1000)</f>
      </c>
      <c r="AE82" t="s" s="295">
        <f>IF(AD82="","",IF(AH82&lt;V82,"Not Acceptable","Acceptable"))</f>
      </c>
      <c r="AF82" t="s" s="295">
        <f>IF(D82="","",I82)</f>
      </c>
      <c r="AG82" t="s" s="285">
        <f>IF(D82="","",VLOOKUP(F82,'9. All Habitats + Multipliers'!$C$4:$K$102,5,FALSE))</f>
      </c>
      <c r="AH82" t="s" s="313">
        <f>IF(AG82="","",VLOOKUP(AG82,'11. Lists'!$S$47:$U$50,2,FALSE))</f>
      </c>
      <c r="AI82" t="s" s="295">
        <f>IF(D82="","",J82)</f>
      </c>
      <c r="AJ82" t="s" s="285">
        <f>IF(AI82="","",VLOOKUP(AI82,'11. Lists'!$F$47:$G$51,2,FALSE))</f>
      </c>
      <c r="AK82" s="511"/>
      <c r="AL82" s="511"/>
      <c r="AM82" s="511"/>
      <c r="AN82" t="s" s="313">
        <f>IF(H82="","",H82)</f>
      </c>
      <c r="AO82" t="s" s="285">
        <f>IF(AN82="","",VLOOKUP(AN82,'11. Lists'!$F$36:$H$38,2,FALSE))</f>
      </c>
      <c r="AP82" t="s" s="313">
        <f>IF(AN82="","",VLOOKUP(AN82,'11. Lists'!$F$36:$H$38,3,FALSE))</f>
      </c>
      <c r="AQ82" t="s" s="285">
        <f>IF(D82="","",IF(AX82="Distinctiveness","N/A",VLOOKUP(F82,'10. Condition and Temporal'!$B$6:$L$103,11,FALSE)))</f>
      </c>
      <c r="AR82" t="s" s="313">
        <f>IF(AQ82="","",IF(AQ82="N/A","1",VLOOKUP(AQ82,'11. Lists'!$I$47:$K$80,3,FALSE)))</f>
      </c>
      <c r="AS82" t="s" s="285">
        <f>IF(D82="","",IF(AX82="Condition","N/A",VLOOKUP(F82,'10. Condition and Temporal'!$B$6:$M$106,12,FALSE)))</f>
      </c>
      <c r="AT82" t="s" s="313">
        <f>IF(AS82="","",IF(AS82="N/A","1",VLOOKUP(AS82,'11. Lists'!$I$47:$K$80,3,FALSE)))</f>
      </c>
      <c r="AU82" t="s" s="285">
        <f>IF(D82="","",VLOOKUP(F82,'9. All Habitats + Multipliers'!$C$4:$K$102,8,FALSE))</f>
      </c>
      <c r="AV82" t="s" s="313">
        <f>IF(AU82="","",VLOOKUP(AU82,'11. Lists'!$J$35:$K$38,2,FALSE))</f>
      </c>
      <c r="AW82" t="s" s="285">
        <f>IF(D82="","",VLOOKUP(D82,'10. Condition and Temporal'!$B$6:$M$103,4,FALSE))</f>
      </c>
      <c r="AX82" t="s" s="313">
        <f>IF(F82="","",IF(D82=F82,"Condition","Distinctiveness"))</f>
      </c>
      <c r="AY82" s="380"/>
      <c r="AZ82" s="723"/>
      <c r="BA82" s="401">
        <v>17</v>
      </c>
      <c r="BB82" t="s" s="291">
        <f>TRIM(MID(SUBSTITUTE($AW$66,$BA$62,REPT(" ",LEN($AW$66))),($BA82-1)*LEN($AW$66)+1,LEN($AW$66)))</f>
      </c>
      <c r="BC82" t="s" s="291">
        <f>TRIM(MID(SUBSTITUTE($AW$67,$BA$62,REPT(" ",LEN($AW$67))),($BA82-1)*LEN($AW$67)+1,LEN($AW$67)))</f>
      </c>
      <c r="BD82" t="s" s="291">
        <f>TRIM(MID(SUBSTITUTE($AW$68,$BA$62,REPT(" ",LEN($AW$68))),($BA82-1)*LEN($AW$68)+1,LEN($AW$68)))</f>
      </c>
      <c r="BE82" t="s" s="291">
        <f>TRIM(MID(SUBSTITUTE($AW$69,$BA$62,REPT(" ",LEN($AW$69))),($BA82-1)*LEN($AW$69)+1,LEN($AW$69)))</f>
      </c>
      <c r="BF82" t="s" s="291">
        <f>TRIM(MID(SUBSTITUTE($AW$70,$BA$62,REPT(" ",LEN($AW$70))),($BA82-1)*LEN($AW$70)+1,LEN($AW$70)))</f>
      </c>
      <c r="BG82" t="s" s="291">
        <f>TRIM(MID(SUBSTITUTE($AW$71,$BA$62,REPT(" ",LEN($AW$71))),($BA82-1)*LEN($AW$71)+1,LEN($AW$71)))</f>
      </c>
      <c r="BH82" t="s" s="291">
        <f>TRIM(MID(SUBSTITUTE($AW$72,$BA$62,REPT(" ",LEN($AW$72))),($BA82-1)*LEN($AW$72)+1,LEN($AW$72)))</f>
      </c>
      <c r="BI82" t="s" s="291">
        <f>TRIM(MID(SUBSTITUTE($AW$73,$BA$62,REPT(" ",LEN($AW$73))),($BA82-1)*LEN($AW$73)+1,LEN($AW$73)))</f>
      </c>
      <c r="BJ82" t="s" s="291">
        <f>TRIM(MID(SUBSTITUTE($AW$74,$BA$62,REPT(" ",LEN($AW$74))),($BA82-1)*LEN($AW$74)+1,LEN($AW$74)))</f>
      </c>
      <c r="BK82" t="s" s="291">
        <f>TRIM(MID(SUBSTITUTE($AW$75,$BA$62,REPT(" ",LEN($AW$75))),($BA82-1)*LEN($AW$75)+1,LEN($AW$75)))</f>
      </c>
      <c r="BL82" t="s" s="291">
        <f>TRIM(MID(SUBSTITUTE($AW$76,$BA$62,REPT(" ",LEN($AW$76))),($BA82-1)*LEN($AW$76)+1,LEN($AW$76)))</f>
      </c>
      <c r="BM82" t="s" s="291">
        <f>TRIM(MID(SUBSTITUTE($AW$77,$BA$62,REPT(" ",LEN($AW$77))),($BA82-1)*LEN($AW$77)+1,LEN($AW$77)))</f>
      </c>
      <c r="BN82" t="s" s="291">
        <f>TRIM(MID(SUBSTITUTE($AW$78,$BA$62,REPT(" ",LEN($AW$78))),($BA82-1)*LEN($AW$78)+1,LEN($AW$78)))</f>
      </c>
      <c r="BO82" t="s" s="291">
        <f>TRIM(MID(SUBSTITUTE($AW$79,$BA$62,REPT(" ",LEN($AW$79))),($BA82-1)*LEN($AW$79)+1,LEN($AW$79)))</f>
      </c>
      <c r="BP82" t="s" s="291">
        <f>TRIM(MID(SUBSTITUTE($AW$80,$BA$62,REPT(" ",LEN($AW$80))),($BA82-1)*LEN($AW$80)+1,LEN($AW$80)))</f>
      </c>
      <c r="BQ82" t="s" s="291">
        <f>TRIM(MID(SUBSTITUTE($AW$81,$BA$62,REPT(" ",LEN($AW$81))),($BA82-1)*LEN($AW$81)+1,LEN($AW$81)))</f>
      </c>
      <c r="BR82" t="s" s="291">
        <f>TRIM(MID(SUBSTITUTE($AW$82,$BA$62,REPT(" ",LEN($AW$82))),($BA82-1)*LEN($AW$82)+1,LEN($AW$82)))</f>
      </c>
      <c r="BS82" t="s" s="291">
        <f>TRIM(MID(SUBSTITUTE($AW$83,$BA$62,REPT(" ",LEN($AW$83))),($BA82-1)*LEN($AW$83)+1,LEN($AW$83)))</f>
      </c>
      <c r="BT82" t="s" s="291">
        <f>TRIM(MID(SUBSTITUTE($AW$84,$BA$62,REPT(" ",LEN($AW$84))),($BA82-1)*LEN($AW$84)+1,LEN($AW$84)))</f>
      </c>
      <c r="BU82" t="s" s="313">
        <f>TRIM(MID(SUBSTITUTE($AW$85,$BA$62,REPT(" ",LEN($AW$85))),($BA82-1)*LEN($AW$85)+1,LEN($AW$85)))</f>
      </c>
      <c r="BV82" t="s" s="285">
        <f>IF(BX82=0,"",CONCATENATE(BW82,"66:",BW82,BX82+65))</f>
      </c>
      <c r="BW82" t="s" s="291">
        <v>240</v>
      </c>
      <c r="BX82" s="518">
        <f>BR64</f>
        <v>0</v>
      </c>
    </row>
    <row r="83" ht="15.6" customHeight="1">
      <c r="A83" s="379"/>
      <c r="B83" s="296">
        <v>18</v>
      </c>
      <c r="C83" t="s" s="519">
        <f>IF(D83="","",C28)</f>
      </c>
      <c r="D83" t="s" s="520">
        <f>IF(OR(K28="",K28=0),"",D28)</f>
      </c>
      <c r="E83" t="s" s="521">
        <f>IF(AX83="","",AX83)</f>
      </c>
      <c r="F83" s="314"/>
      <c r="G83" s="315"/>
      <c r="H83" s="501"/>
      <c r="I83" t="s" s="502">
        <f>IF(OR(K28="",K28=0),"",K28)</f>
      </c>
      <c r="J83" t="s" s="503">
        <f>_xlfn.IFERROR(IF(F83="","",VLOOKUP(F83,'10. Condition and Temporal'!$B$6:$F$103,5,FALSE)),"Error ▲")</f>
      </c>
      <c r="K83" s="504"/>
      <c r="L83" t="s" s="418">
        <f>_xlfn.IFERROR(IF(D83="","",IF(AX83="Distinctiveness",(((((I83*AH83*AJ83)-(I83*V83*X83))*(AV83*AT83))+(I83*V83*X83))*AP83/1000),((((I83*AH83*AJ83)-(I83*V83*X83))*(AV83*AR83))+(I83*V83*X83))*AP83/1000)),"This intervention is not permitted within the SSM ▲")</f>
      </c>
      <c r="M83" t="s" s="724">
        <f>_xlfn.IFERROR(IF(F83="","",L83-AD83),"Error ▲")</f>
      </c>
      <c r="N83" s="700"/>
      <c r="O83" s="415"/>
      <c r="P83" s="315"/>
      <c r="Q83" s="380"/>
      <c r="R83" s="219"/>
      <c r="S83" s="381"/>
      <c r="T83" t="s" s="295">
        <f>IF(D83="","",K28)</f>
      </c>
      <c r="U83" t="s" s="285">
        <f>IF($D83="","",T28)</f>
      </c>
      <c r="V83" t="s" s="313">
        <f>IF($D83="","",V28)</f>
      </c>
      <c r="W83" t="s" s="285">
        <f>IF($D83="","",W28)</f>
      </c>
      <c r="X83" t="s" s="291">
        <f>IF($D83="","",X28)</f>
      </c>
      <c r="Y83" s="511"/>
      <c r="Z83" s="511"/>
      <c r="AA83" s="511"/>
      <c r="AB83" t="s" s="291">
        <f>IF($D83="","",AB28)</f>
      </c>
      <c r="AC83" t="s" s="291">
        <f>IF($D83="","",AD28)</f>
      </c>
      <c r="AD83" t="s" s="313">
        <f>IF(AC83="","",(T83*V83*X83)*AC83/1000)</f>
      </c>
      <c r="AE83" t="s" s="295">
        <f>IF(AD83="","",IF(AH83&lt;V83,"Not Acceptable","Acceptable"))</f>
      </c>
      <c r="AF83" t="s" s="295">
        <f>IF(D83="","",I83)</f>
      </c>
      <c r="AG83" t="s" s="285">
        <f>IF(D83="","",VLOOKUP(F83,'9. All Habitats + Multipliers'!$C$4:$K$102,5,FALSE))</f>
      </c>
      <c r="AH83" t="s" s="313">
        <f>IF(AG83="","",VLOOKUP(AG83,'11. Lists'!$S$47:$U$50,2,FALSE))</f>
      </c>
      <c r="AI83" t="s" s="295">
        <f>IF(D83="","",J83)</f>
      </c>
      <c r="AJ83" t="s" s="285">
        <f>IF(AI83="","",VLOOKUP(AI83,'11. Lists'!$F$47:$G$51,2,FALSE))</f>
      </c>
      <c r="AK83" s="511"/>
      <c r="AL83" s="511"/>
      <c r="AM83" s="511"/>
      <c r="AN83" t="s" s="313">
        <f>IF(H83="","",H83)</f>
      </c>
      <c r="AO83" t="s" s="285">
        <f>IF(AN83="","",VLOOKUP(AN83,'11. Lists'!$F$36:$H$38,2,FALSE))</f>
      </c>
      <c r="AP83" t="s" s="313">
        <f>IF(AN83="","",VLOOKUP(AN83,'11. Lists'!$F$36:$H$38,3,FALSE))</f>
      </c>
      <c r="AQ83" t="s" s="285">
        <f>IF(D83="","",IF(AX83="Distinctiveness","N/A",VLOOKUP(F83,'10. Condition and Temporal'!$B$6:$L$103,11,FALSE)))</f>
      </c>
      <c r="AR83" t="s" s="313">
        <f>IF(AQ83="","",IF(AQ83="N/A","1",VLOOKUP(AQ83,'11. Lists'!$I$47:$K$80,3,FALSE)))</f>
      </c>
      <c r="AS83" t="s" s="285">
        <f>IF(D83="","",IF(AX83="Condition","N/A",VLOOKUP(F83,'10. Condition and Temporal'!$B$6:$M$106,12,FALSE)))</f>
      </c>
      <c r="AT83" t="s" s="313">
        <f>IF(AS83="","",IF(AS83="N/A","1",VLOOKUP(AS83,'11. Lists'!$I$47:$K$80,3,FALSE)))</f>
      </c>
      <c r="AU83" t="s" s="285">
        <f>IF(D83="","",VLOOKUP(F83,'9. All Habitats + Multipliers'!$C$4:$K$102,8,FALSE))</f>
      </c>
      <c r="AV83" t="s" s="313">
        <f>IF(AU83="","",VLOOKUP(AU83,'11. Lists'!$J$35:$K$38,2,FALSE))</f>
      </c>
      <c r="AW83" t="s" s="285">
        <f>IF(D83="","",VLOOKUP(D83,'10. Condition and Temporal'!$B$6:$M$103,4,FALSE))</f>
      </c>
      <c r="AX83" t="s" s="313">
        <f>IF(F83="","",IF(D83=F83,"Condition","Distinctiveness"))</f>
      </c>
      <c r="AY83" s="380"/>
      <c r="AZ83" s="723"/>
      <c r="BA83" s="401">
        <v>18</v>
      </c>
      <c r="BB83" t="s" s="291">
        <f>TRIM(MID(SUBSTITUTE($AW$66,$BA$62,REPT(" ",LEN($AW$66))),($BA83-1)*LEN($AW$66)+1,LEN($AW$66)))</f>
      </c>
      <c r="BC83" t="s" s="291">
        <f>TRIM(MID(SUBSTITUTE($AW$67,$BA$62,REPT(" ",LEN($AW$67))),($BA83-1)*LEN($AW$67)+1,LEN($AW$67)))</f>
      </c>
      <c r="BD83" t="s" s="291">
        <f>TRIM(MID(SUBSTITUTE($AW$68,$BA$62,REPT(" ",LEN($AW$68))),($BA83-1)*LEN($AW$68)+1,LEN($AW$68)))</f>
      </c>
      <c r="BE83" t="s" s="291">
        <f>TRIM(MID(SUBSTITUTE($AW$69,$BA$62,REPT(" ",LEN($AW$69))),($BA83-1)*LEN($AW$69)+1,LEN($AW$69)))</f>
      </c>
      <c r="BF83" t="s" s="291">
        <f>TRIM(MID(SUBSTITUTE($AW$70,$BA$62,REPT(" ",LEN($AW$70))),($BA83-1)*LEN($AW$70)+1,LEN($AW$70)))</f>
      </c>
      <c r="BG83" t="s" s="291">
        <f>TRIM(MID(SUBSTITUTE($AW$71,$BA$62,REPT(" ",LEN($AW$71))),($BA83-1)*LEN($AW$71)+1,LEN($AW$71)))</f>
      </c>
      <c r="BH83" t="s" s="291">
        <f>TRIM(MID(SUBSTITUTE($AW$72,$BA$62,REPT(" ",LEN($AW$72))),($BA83-1)*LEN($AW$72)+1,LEN($AW$72)))</f>
      </c>
      <c r="BI83" t="s" s="291">
        <f>TRIM(MID(SUBSTITUTE($AW$73,$BA$62,REPT(" ",LEN($AW$73))),($BA83-1)*LEN($AW$73)+1,LEN($AW$73)))</f>
      </c>
      <c r="BJ83" t="s" s="291">
        <f>TRIM(MID(SUBSTITUTE($AW$74,$BA$62,REPT(" ",LEN($AW$74))),($BA83-1)*LEN($AW$74)+1,LEN($AW$74)))</f>
      </c>
      <c r="BK83" t="s" s="291">
        <f>TRIM(MID(SUBSTITUTE($AW$75,$BA$62,REPT(" ",LEN($AW$75))),($BA83-1)*LEN($AW$75)+1,LEN($AW$75)))</f>
      </c>
      <c r="BL83" t="s" s="291">
        <f>TRIM(MID(SUBSTITUTE($AW$76,$BA$62,REPT(" ",LEN($AW$76))),($BA83-1)*LEN($AW$76)+1,LEN($AW$76)))</f>
      </c>
      <c r="BM83" t="s" s="291">
        <f>TRIM(MID(SUBSTITUTE($AW$77,$BA$62,REPT(" ",LEN($AW$77))),($BA83-1)*LEN($AW$77)+1,LEN($AW$77)))</f>
      </c>
      <c r="BN83" t="s" s="291">
        <f>TRIM(MID(SUBSTITUTE($AW$78,$BA$62,REPT(" ",LEN($AW$78))),($BA83-1)*LEN($AW$78)+1,LEN($AW$78)))</f>
      </c>
      <c r="BO83" t="s" s="291">
        <f>TRIM(MID(SUBSTITUTE($AW$79,$BA$62,REPT(" ",LEN($AW$79))),($BA83-1)*LEN($AW$79)+1,LEN($AW$79)))</f>
      </c>
      <c r="BP83" t="s" s="291">
        <f>TRIM(MID(SUBSTITUTE($AW$80,$BA$62,REPT(" ",LEN($AW$80))),($BA83-1)*LEN($AW$80)+1,LEN($AW$80)))</f>
      </c>
      <c r="BQ83" t="s" s="291">
        <f>TRIM(MID(SUBSTITUTE($AW$81,$BA$62,REPT(" ",LEN($AW$81))),($BA83-1)*LEN($AW$81)+1,LEN($AW$81)))</f>
      </c>
      <c r="BR83" t="s" s="291">
        <f>TRIM(MID(SUBSTITUTE($AW$82,$BA$62,REPT(" ",LEN($AW$82))),($BA83-1)*LEN($AW$82)+1,LEN($AW$82)))</f>
      </c>
      <c r="BS83" t="s" s="291">
        <f>TRIM(MID(SUBSTITUTE($AW$83,$BA$62,REPT(" ",LEN($AW$83))),($BA83-1)*LEN($AW$83)+1,LEN($AW$83)))</f>
      </c>
      <c r="BT83" t="s" s="291">
        <f>TRIM(MID(SUBSTITUTE($AW$84,$BA$62,REPT(" ",LEN($AW$84))),($BA83-1)*LEN($AW$84)+1,LEN($AW$84)))</f>
      </c>
      <c r="BU83" t="s" s="313">
        <f>TRIM(MID(SUBSTITUTE($AW$85,$BA$62,REPT(" ",LEN($AW$85))),($BA83-1)*LEN($AW$85)+1,LEN($AW$85)))</f>
      </c>
      <c r="BV83" t="s" s="285">
        <f>IF(BX83=0,"",CONCATENATE(BW83,"66:",BW83,BX83+65))</f>
      </c>
      <c r="BW83" t="s" s="291">
        <v>241</v>
      </c>
      <c r="BX83" s="518">
        <f>BS64</f>
        <v>0</v>
      </c>
    </row>
    <row r="84" ht="15.6" customHeight="1">
      <c r="A84" s="379"/>
      <c r="B84" s="296">
        <v>19</v>
      </c>
      <c r="C84" t="s" s="519">
        <f>IF(D84="","",C29)</f>
      </c>
      <c r="D84" t="s" s="520">
        <f>IF(OR(K29="",K29=0),"",D29)</f>
      </c>
      <c r="E84" t="s" s="521">
        <f>IF(AX84="","",AX84)</f>
      </c>
      <c r="F84" s="314"/>
      <c r="G84" s="315"/>
      <c r="H84" s="501"/>
      <c r="I84" t="s" s="502">
        <f>IF(OR(K29="",K29=0),"",K29)</f>
      </c>
      <c r="J84" t="s" s="503">
        <f>_xlfn.IFERROR(IF(F84="","",VLOOKUP(F84,'10. Condition and Temporal'!$B$6:$F$103,5,FALSE)),"Error ▲")</f>
      </c>
      <c r="K84" s="504"/>
      <c r="L84" t="s" s="418">
        <f>_xlfn.IFERROR(IF(D84="","",IF(AX84="Distinctiveness",(((((I84*AH84*AJ84)-(I84*V84*X84))*(AV84*AT84))+(I84*V84*X84))*AP84/1000),((((I84*AH84*AJ84)-(I84*V84*X84))*(AV84*AR84))+(I84*V84*X84))*AP84/1000)),"This intervention is not permitted within the SSM ▲")</f>
      </c>
      <c r="M84" t="s" s="724">
        <f>_xlfn.IFERROR(IF(F84="","",L84-AD84),"Error ▲")</f>
      </c>
      <c r="N84" s="700"/>
      <c r="O84" s="415"/>
      <c r="P84" s="315"/>
      <c r="Q84" s="380"/>
      <c r="R84" s="219"/>
      <c r="S84" s="381"/>
      <c r="T84" t="s" s="295">
        <f>IF(D84="","",K29)</f>
      </c>
      <c r="U84" t="s" s="285">
        <f>IF($D84="","",T29)</f>
      </c>
      <c r="V84" t="s" s="313">
        <f>IF($D84="","",V29)</f>
      </c>
      <c r="W84" t="s" s="285">
        <f>IF($D84="","",W29)</f>
      </c>
      <c r="X84" t="s" s="291">
        <f>IF($D84="","",X29)</f>
      </c>
      <c r="Y84" s="511"/>
      <c r="Z84" s="511"/>
      <c r="AA84" s="511"/>
      <c r="AB84" t="s" s="291">
        <f>IF($D84="","",AB29)</f>
      </c>
      <c r="AC84" t="s" s="291">
        <f>IF($D84="","",AD29)</f>
      </c>
      <c r="AD84" t="s" s="313">
        <f>IF(AC84="","",(T84*V84*X84)*AC84/1000)</f>
      </c>
      <c r="AE84" t="s" s="295">
        <f>IF(AD84="","",IF(AH84&lt;V84,"Not Acceptable","Acceptable"))</f>
      </c>
      <c r="AF84" t="s" s="295">
        <f>IF(D84="","",I84)</f>
      </c>
      <c r="AG84" t="s" s="285">
        <f>IF(D84="","",VLOOKUP(F84,'9. All Habitats + Multipliers'!$C$4:$K$102,5,FALSE))</f>
      </c>
      <c r="AH84" t="s" s="313">
        <f>IF(AG84="","",VLOOKUP(AG84,'11. Lists'!$S$47:$U$50,2,FALSE))</f>
      </c>
      <c r="AI84" t="s" s="295">
        <f>IF(D84="","",J84)</f>
      </c>
      <c r="AJ84" t="s" s="285">
        <f>IF(AI84="","",VLOOKUP(AI84,'11. Lists'!$F$47:$G$51,2,FALSE))</f>
      </c>
      <c r="AK84" s="511"/>
      <c r="AL84" s="511"/>
      <c r="AM84" s="511"/>
      <c r="AN84" t="s" s="313">
        <f>IF(H84="","",H84)</f>
      </c>
      <c r="AO84" t="s" s="285">
        <f>IF(AN84="","",VLOOKUP(AN84,'11. Lists'!$F$36:$H$38,2,FALSE))</f>
      </c>
      <c r="AP84" t="s" s="313">
        <f>IF(AN84="","",VLOOKUP(AN84,'11. Lists'!$F$36:$H$38,3,FALSE))</f>
      </c>
      <c r="AQ84" t="s" s="285">
        <f>IF(D84="","",IF(AX84="Distinctiveness","N/A",VLOOKUP(F84,'10. Condition and Temporal'!$B$6:$L$103,11,FALSE)))</f>
      </c>
      <c r="AR84" t="s" s="313">
        <f>IF(AQ84="","",IF(AQ84="N/A","1",VLOOKUP(AQ84,'11. Lists'!$I$47:$K$80,3,FALSE)))</f>
      </c>
      <c r="AS84" t="s" s="285">
        <f>IF(D84="","",IF(AX84="Condition","N/A",VLOOKUP(F84,'10. Condition and Temporal'!$B$6:$M$106,12,FALSE)))</f>
      </c>
      <c r="AT84" t="s" s="313">
        <f>IF(AS84="","",IF(AS84="N/A","1",VLOOKUP(AS84,'11. Lists'!$I$47:$K$80,3,FALSE)))</f>
      </c>
      <c r="AU84" t="s" s="285">
        <f>IF(D84="","",VLOOKUP(F84,'9. All Habitats + Multipliers'!$C$4:$K$102,8,FALSE))</f>
      </c>
      <c r="AV84" t="s" s="313">
        <f>IF(AU84="","",VLOOKUP(AU84,'11. Lists'!$J$35:$K$38,2,FALSE))</f>
      </c>
      <c r="AW84" t="s" s="285">
        <f>IF(D84="","",VLOOKUP(D84,'10. Condition and Temporal'!$B$6:$M$103,4,FALSE))</f>
      </c>
      <c r="AX84" t="s" s="313">
        <f>IF(F84="","",IF(D84=F84,"Condition","Distinctiveness"))</f>
      </c>
      <c r="AY84" s="380"/>
      <c r="AZ84" s="723"/>
      <c r="BA84" s="401">
        <v>19</v>
      </c>
      <c r="BB84" t="s" s="291">
        <f>TRIM(MID(SUBSTITUTE($AW$66,$BA$62,REPT(" ",LEN($AW$66))),($BA84-1)*LEN($AW$66)+1,LEN($AW$66)))</f>
      </c>
      <c r="BC84" t="s" s="291">
        <f>TRIM(MID(SUBSTITUTE($AW$67,$BA$62,REPT(" ",LEN($AW$67))),($BA84-1)*LEN($AW$67)+1,LEN($AW$67)))</f>
      </c>
      <c r="BD84" t="s" s="291">
        <f>TRIM(MID(SUBSTITUTE($AW$68,$BA$62,REPT(" ",LEN($AW$68))),($BA84-1)*LEN($AW$68)+1,LEN($AW$68)))</f>
      </c>
      <c r="BE84" t="s" s="291">
        <f>TRIM(MID(SUBSTITUTE($AW$69,$BA$62,REPT(" ",LEN($AW$69))),($BA84-1)*LEN($AW$69)+1,LEN($AW$69)))</f>
      </c>
      <c r="BF84" t="s" s="291">
        <f>TRIM(MID(SUBSTITUTE($AW$70,$BA$62,REPT(" ",LEN($AW$70))),($BA84-1)*LEN($AW$70)+1,LEN($AW$70)))</f>
      </c>
      <c r="BG84" t="s" s="291">
        <f>TRIM(MID(SUBSTITUTE($AW$71,$BA$62,REPT(" ",LEN($AW$71))),($BA84-1)*LEN($AW$71)+1,LEN($AW$71)))</f>
      </c>
      <c r="BH84" t="s" s="291">
        <f>TRIM(MID(SUBSTITUTE($AW$72,$BA$62,REPT(" ",LEN($AW$72))),($BA84-1)*LEN($AW$72)+1,LEN($AW$72)))</f>
      </c>
      <c r="BI84" t="s" s="291">
        <f>TRIM(MID(SUBSTITUTE($AW$73,$BA$62,REPT(" ",LEN($AW$73))),($BA84-1)*LEN($AW$73)+1,LEN($AW$73)))</f>
      </c>
      <c r="BJ84" t="s" s="291">
        <f>TRIM(MID(SUBSTITUTE($AW$74,$BA$62,REPT(" ",LEN($AW$74))),($BA84-1)*LEN($AW$74)+1,LEN($AW$74)))</f>
      </c>
      <c r="BK84" t="s" s="291">
        <f>TRIM(MID(SUBSTITUTE($AW$75,$BA$62,REPT(" ",LEN($AW$75))),($BA84-1)*LEN($AW$75)+1,LEN($AW$75)))</f>
      </c>
      <c r="BL84" t="s" s="291">
        <f>TRIM(MID(SUBSTITUTE($AW$76,$BA$62,REPT(" ",LEN($AW$76))),($BA84-1)*LEN($AW$76)+1,LEN($AW$76)))</f>
      </c>
      <c r="BM84" t="s" s="291">
        <f>TRIM(MID(SUBSTITUTE($AW$77,$BA$62,REPT(" ",LEN($AW$77))),($BA84-1)*LEN($AW$77)+1,LEN($AW$77)))</f>
      </c>
      <c r="BN84" t="s" s="291">
        <f>TRIM(MID(SUBSTITUTE($AW$78,$BA$62,REPT(" ",LEN($AW$78))),($BA84-1)*LEN($AW$78)+1,LEN($AW$78)))</f>
      </c>
      <c r="BO84" t="s" s="291">
        <f>TRIM(MID(SUBSTITUTE($AW$79,$BA$62,REPT(" ",LEN($AW$79))),($BA84-1)*LEN($AW$79)+1,LEN($AW$79)))</f>
      </c>
      <c r="BP84" t="s" s="291">
        <f>TRIM(MID(SUBSTITUTE($AW$80,$BA$62,REPT(" ",LEN($AW$80))),($BA84-1)*LEN($AW$80)+1,LEN($AW$80)))</f>
      </c>
      <c r="BQ84" t="s" s="291">
        <f>TRIM(MID(SUBSTITUTE($AW$81,$BA$62,REPT(" ",LEN($AW$81))),($BA84-1)*LEN($AW$81)+1,LEN($AW$81)))</f>
      </c>
      <c r="BR84" t="s" s="291">
        <f>TRIM(MID(SUBSTITUTE($AW$82,$BA$62,REPT(" ",LEN($AW$82))),($BA84-1)*LEN($AW$82)+1,LEN($AW$82)))</f>
      </c>
      <c r="BS84" t="s" s="291">
        <f>TRIM(MID(SUBSTITUTE($AW$83,$BA$62,REPT(" ",LEN($AW$83))),($BA84-1)*LEN($AW$83)+1,LEN($AW$83)))</f>
      </c>
      <c r="BT84" t="s" s="291">
        <f>TRIM(MID(SUBSTITUTE($AW$84,$BA$62,REPT(" ",LEN($AW$84))),($BA84-1)*LEN($AW$84)+1,LEN($AW$84)))</f>
      </c>
      <c r="BU84" t="s" s="313">
        <f>TRIM(MID(SUBSTITUTE($AW$85,$BA$62,REPT(" ",LEN($AW$85))),($BA84-1)*LEN($AW$85)+1,LEN($AW$85)))</f>
      </c>
      <c r="BV84" t="s" s="285">
        <f>IF(BX84=0,"",CONCATENATE(BW84,"66:",BW84,BX84+65))</f>
      </c>
      <c r="BW84" t="s" s="291">
        <v>242</v>
      </c>
      <c r="BX84" s="518">
        <f>BT64</f>
        <v>0</v>
      </c>
    </row>
    <row r="85" ht="15.95" customHeight="1">
      <c r="A85" s="379"/>
      <c r="B85" s="419">
        <v>20</v>
      </c>
      <c r="C85" t="s" s="523">
        <f>IF(D85="","",C30)</f>
      </c>
      <c r="D85" t="s" s="524">
        <f>IF(OR(K30="",K30=0),"",D30)</f>
      </c>
      <c r="E85" t="s" s="525">
        <f>IF(AX85="","",AX85)</f>
      </c>
      <c r="F85" s="526"/>
      <c r="G85" s="338"/>
      <c r="H85" s="527"/>
      <c r="I85" t="s" s="528">
        <f>IF(OR(K30="",K30=0),"",K30)</f>
      </c>
      <c r="J85" t="s" s="529">
        <f>_xlfn.IFERROR(IF(F85="","",VLOOKUP(F85,'10. Condition and Temporal'!$B$6:$F$103,5,FALSE)),"Error ▲")</f>
      </c>
      <c r="K85" s="530"/>
      <c r="L85" t="s" s="427">
        <f>_xlfn.IFERROR(IF(D85="","",IF(AX85="Distinctiveness",(((((I85*AH85*AJ85)-(I85*V85*X85))*(AV85*AT85))+(I85*V85*X85))*AP85/1000),((((I85*AH85*AJ85)-(I85*V85*X85))*(AV85*AR85))+(I85*V85*X85))*AP85/1000)),"This intervention is not permitted within the SSM ▲")</f>
      </c>
      <c r="M85" t="s" s="725">
        <f>_xlfn.IFERROR(IF(F85="","",L85-AD85),"Error ▲")</f>
      </c>
      <c r="N85" s="706"/>
      <c r="O85" s="337"/>
      <c r="P85" s="338"/>
      <c r="Q85" s="380"/>
      <c r="R85" s="219"/>
      <c r="S85" s="381"/>
      <c r="T85" t="s" s="295">
        <f>IF(D85="","",K30)</f>
      </c>
      <c r="U85" t="s" s="285">
        <f>IF($D85="","",T30)</f>
      </c>
      <c r="V85" t="s" s="313">
        <f>IF($D85="","",V30)</f>
      </c>
      <c r="W85" t="s" s="285">
        <f>IF($D85="","",W30)</f>
      </c>
      <c r="X85" t="s" s="291">
        <f>IF($D85="","",X30)</f>
      </c>
      <c r="Y85" s="511"/>
      <c r="Z85" s="511"/>
      <c r="AA85" s="511"/>
      <c r="AB85" t="s" s="291">
        <f>IF($D85="","",AB30)</f>
      </c>
      <c r="AC85" t="s" s="291">
        <f>IF($D85="","",AD30)</f>
      </c>
      <c r="AD85" t="s" s="313">
        <f>IF(AC85="","",(T85*V85*X85)*AC85/1000)</f>
      </c>
      <c r="AE85" t="s" s="295">
        <f>IF(AD85="","",IF(AH85&lt;V85,"Not Acceptable","Acceptable"))</f>
      </c>
      <c r="AF85" t="s" s="295">
        <f>IF(D85="","",I85)</f>
      </c>
      <c r="AG85" t="s" s="285">
        <f>IF(D85="","",VLOOKUP(F85,'9. All Habitats + Multipliers'!$C$4:$K$102,5,FALSE))</f>
      </c>
      <c r="AH85" t="s" s="313">
        <f>IF(AG85="","",VLOOKUP(AG85,'11. Lists'!$S$47:$U$50,2,FALSE))</f>
      </c>
      <c r="AI85" t="s" s="295">
        <f>IF(D85="","",J85)</f>
      </c>
      <c r="AJ85" t="s" s="339">
        <f>IF(AI85="","",VLOOKUP(AI85,'11. Lists'!$F$47:$G$51,2,FALSE))</f>
      </c>
      <c r="AK85" s="533"/>
      <c r="AL85" s="533"/>
      <c r="AM85" s="533"/>
      <c r="AN85" t="s" s="531">
        <f>IF(H85="","",H85)</f>
      </c>
      <c r="AO85" t="s" s="285">
        <f>IF(AN85="","",VLOOKUP(AN85,'11. Lists'!$F$36:$H$38,2,FALSE))</f>
      </c>
      <c r="AP85" t="s" s="313">
        <f>IF(AN85="","",VLOOKUP(AN85,'11. Lists'!$F$36:$H$38,3,FALSE))</f>
      </c>
      <c r="AQ85" t="s" s="285">
        <f>IF(D85="","",IF(AX85="Distinctiveness","N/A",VLOOKUP(F85,'10. Condition and Temporal'!$B$6:$L$103,11,FALSE)))</f>
      </c>
      <c r="AR85" t="s" s="313">
        <f>IF(AQ85="","",IF(AQ85="N/A","1",VLOOKUP(AQ85,'11. Lists'!$I$47:$K$80,3,FALSE)))</f>
      </c>
      <c r="AS85" t="s" s="285">
        <f>IF(D85="","",IF(AX85="Condition","N/A",VLOOKUP(F85,'10. Condition and Temporal'!$B$6:$M$106,12,FALSE)))</f>
      </c>
      <c r="AT85" t="s" s="313">
        <f>IF(AS85="","",IF(AS85="N/A","1",VLOOKUP(AS85,'11. Lists'!$I$47:$K$80,3,FALSE)))</f>
      </c>
      <c r="AU85" t="s" s="285">
        <f>IF(D85="","",VLOOKUP(F85,'9. All Habitats + Multipliers'!$C$4:$K$102,8,FALSE))</f>
      </c>
      <c r="AV85" t="s" s="313">
        <f>IF(AU85="","",VLOOKUP(AU85,'11. Lists'!$J$35:$K$38,2,FALSE))</f>
      </c>
      <c r="AW85" t="s" s="285">
        <f>IF(D85="","",VLOOKUP(D85,'10. Condition and Temporal'!$B$6:$M$103,4,FALSE))</f>
      </c>
      <c r="AX85" t="s" s="313">
        <f>IF(F85="","",IF(D85=F85,"Condition","Distinctiveness"))</f>
      </c>
      <c r="AY85" s="380"/>
      <c r="AZ85" s="723"/>
      <c r="BA85" s="441">
        <v>20</v>
      </c>
      <c r="BB85" t="s" s="291">
        <f>TRIM(MID(SUBSTITUTE($AW$66,$BA$62,REPT(" ",LEN($AW$66))),($BA85-1)*LEN($AW$66)+1,LEN($AW$66)))</f>
      </c>
      <c r="BC85" t="s" s="291">
        <f>TRIM(MID(SUBSTITUTE($AW$67,$BA$62,REPT(" ",LEN($AW$67))),($BA85-1)*LEN($AW$67)+1,LEN($AW$67)))</f>
      </c>
      <c r="BD85" t="s" s="291">
        <f>TRIM(MID(SUBSTITUTE($AW$68,$BA$62,REPT(" ",LEN($AW$68))),($BA85-1)*LEN($AW$68)+1,LEN($AW$68)))</f>
      </c>
      <c r="BE85" t="s" s="291">
        <f>TRIM(MID(SUBSTITUTE($AW$69,$BA$62,REPT(" ",LEN($AW$69))),($BA85-1)*LEN($AW$69)+1,LEN($AW$69)))</f>
      </c>
      <c r="BF85" t="s" s="291">
        <f>TRIM(MID(SUBSTITUTE($AW$70,$BA$62,REPT(" ",LEN($AW$70))),($BA85-1)*LEN($AW$70)+1,LEN($AW$70)))</f>
      </c>
      <c r="BG85" t="s" s="291">
        <f>TRIM(MID(SUBSTITUTE($AW$71,$BA$62,REPT(" ",LEN($AW$71))),($BA85-1)*LEN($AW$71)+1,LEN($AW$71)))</f>
      </c>
      <c r="BH85" t="s" s="291">
        <f>TRIM(MID(SUBSTITUTE($AW$72,$BA$62,REPT(" ",LEN($AW$72))),($BA85-1)*LEN($AW$72)+1,LEN($AW$72)))</f>
      </c>
      <c r="BI85" t="s" s="291">
        <f>TRIM(MID(SUBSTITUTE($AW$73,$BA$62,REPT(" ",LEN($AW$73))),($BA85-1)*LEN($AW$73)+1,LEN($AW$73)))</f>
      </c>
      <c r="BJ85" t="s" s="291">
        <f>TRIM(MID(SUBSTITUTE($AW$74,$BA$62,REPT(" ",LEN($AW$74))),($BA85-1)*LEN($AW$74)+1,LEN($AW$74)))</f>
      </c>
      <c r="BK85" t="s" s="291">
        <f>TRIM(MID(SUBSTITUTE($AW$75,$BA$62,REPT(" ",LEN($AW$75))),($BA85-1)*LEN($AW$75)+1,LEN($AW$75)))</f>
      </c>
      <c r="BL85" t="s" s="291">
        <f>TRIM(MID(SUBSTITUTE($AW$76,$BA$62,REPT(" ",LEN($AW$76))),($BA85-1)*LEN($AW$76)+1,LEN($AW$76)))</f>
      </c>
      <c r="BM85" t="s" s="291">
        <f>TRIM(MID(SUBSTITUTE($AW$77,$BA$62,REPT(" ",LEN($AW$77))),($BA85-1)*LEN($AW$77)+1,LEN($AW$77)))</f>
      </c>
      <c r="BN85" t="s" s="291">
        <f>TRIM(MID(SUBSTITUTE($AW$78,$BA$62,REPT(" ",LEN($AW$78))),($BA85-1)*LEN($AW$78)+1,LEN($AW$78)))</f>
      </c>
      <c r="BO85" t="s" s="291">
        <f>TRIM(MID(SUBSTITUTE($AW$79,$BA$62,REPT(" ",LEN($AW$79))),($BA85-1)*LEN($AW$79)+1,LEN($AW$79)))</f>
      </c>
      <c r="BP85" t="s" s="291">
        <f>TRIM(MID(SUBSTITUTE($AW$80,$BA$62,REPT(" ",LEN($AW$80))),($BA85-1)*LEN($AW$80)+1,LEN($AW$80)))</f>
      </c>
      <c r="BQ85" t="s" s="291">
        <f>TRIM(MID(SUBSTITUTE($AW$81,$BA$62,REPT(" ",LEN($AW$81))),($BA85-1)*LEN($AW$81)+1,LEN($AW$81)))</f>
      </c>
      <c r="BR85" t="s" s="291">
        <f>TRIM(MID(SUBSTITUTE($AW$82,$BA$62,REPT(" ",LEN($AW$82))),($BA85-1)*LEN($AW$82)+1,LEN($AW$82)))</f>
      </c>
      <c r="BS85" t="s" s="291">
        <f>TRIM(MID(SUBSTITUTE($AW$83,$BA$62,REPT(" ",LEN($AW$83))),($BA85-1)*LEN($AW$83)+1,LEN($AW$83)))</f>
      </c>
      <c r="BT85" t="s" s="291">
        <f>TRIM(MID(SUBSTITUTE($AW$84,$BA$62,REPT(" ",LEN($AW$84))),($BA85-1)*LEN($AW$84)+1,LEN($AW$84)))</f>
      </c>
      <c r="BU85" t="s" s="313">
        <f>TRIM(MID(SUBSTITUTE($AW$85,$BA$62,REPT(" ",LEN($AW$85))),($BA85-1)*LEN($AW$85)+1,LEN($AW$85)))</f>
      </c>
      <c r="BV85" t="s" s="285">
        <f>IF(BX85=0,"",CONCATENATE(BW85,"66:",BW85,BX85+65))</f>
      </c>
      <c r="BW85" t="s" s="291">
        <v>243</v>
      </c>
      <c r="BX85" s="518">
        <f>BU64</f>
        <v>0</v>
      </c>
    </row>
    <row r="86" ht="15" customHeight="1">
      <c r="A86" s="347"/>
      <c r="B86" s="348"/>
      <c r="C86" s="348"/>
      <c r="D86" s="348"/>
      <c r="E86" s="348"/>
      <c r="F86" s="348"/>
      <c r="G86" s="443"/>
      <c r="H86" t="s" s="726">
        <v>300</v>
      </c>
      <c r="I86" s="553">
        <f>SUM(I66:I85)</f>
        <v>0</v>
      </c>
      <c r="J86" s="727"/>
      <c r="K86" s="443"/>
      <c r="L86" s="556">
        <f>SUM(L66:L85)</f>
        <v>0</v>
      </c>
      <c r="M86" s="448">
        <f>SUM(M66:N85)</f>
        <v>0</v>
      </c>
      <c r="N86" s="450"/>
      <c r="O86" s="355"/>
      <c r="P86" s="348"/>
      <c r="Q86" s="161"/>
      <c r="R86" s="219"/>
      <c r="S86" s="161"/>
      <c r="T86" s="356"/>
      <c r="U86" s="356"/>
      <c r="V86" s="356"/>
      <c r="W86" s="356"/>
      <c r="X86" s="356"/>
      <c r="Y86" s="356"/>
      <c r="Z86" s="356"/>
      <c r="AA86" s="356"/>
      <c r="AB86" s="356"/>
      <c r="AC86" s="356"/>
      <c r="AD86" s="356"/>
      <c r="AE86" s="356"/>
      <c r="AF86" s="356"/>
      <c r="AG86" s="356"/>
      <c r="AH86" s="356"/>
      <c r="AI86" s="356"/>
      <c r="AJ86" s="348"/>
      <c r="AK86" s="348"/>
      <c r="AL86" s="348"/>
      <c r="AM86" s="348"/>
      <c r="AN86" s="348"/>
      <c r="AO86" s="356"/>
      <c r="AP86" s="356"/>
      <c r="AQ86" s="356"/>
      <c r="AR86" s="356"/>
      <c r="AS86" s="356"/>
      <c r="AT86" s="356"/>
      <c r="AU86" s="356"/>
      <c r="AV86" s="356"/>
      <c r="AW86" s="356"/>
      <c r="AX86" s="356"/>
      <c r="AY86" s="161"/>
      <c r="AZ86" s="161"/>
      <c r="BA86" s="348"/>
      <c r="BB86" s="356"/>
      <c r="BC86" s="356"/>
      <c r="BD86" s="356"/>
      <c r="BE86" s="356"/>
      <c r="BF86" s="356"/>
      <c r="BG86" s="356"/>
      <c r="BH86" s="356"/>
      <c r="BI86" s="356"/>
      <c r="BJ86" s="356"/>
      <c r="BK86" s="356"/>
      <c r="BL86" s="356"/>
      <c r="BM86" s="356"/>
      <c r="BN86" s="356"/>
      <c r="BO86" s="356"/>
      <c r="BP86" s="356"/>
      <c r="BQ86" s="356"/>
      <c r="BR86" s="356"/>
      <c r="BS86" s="356"/>
      <c r="BT86" s="356"/>
      <c r="BU86" s="356"/>
      <c r="BV86" s="356"/>
      <c r="BW86" s="356"/>
      <c r="BX86" s="728"/>
    </row>
    <row r="87" ht="14.05" customHeight="1">
      <c r="A87" s="347"/>
      <c r="B87" s="161"/>
      <c r="C87" s="460"/>
      <c r="D87" s="161"/>
      <c r="E87" s="161"/>
      <c r="F87" s="161"/>
      <c r="G87" s="161"/>
      <c r="H87" s="348"/>
      <c r="I87" s="348"/>
      <c r="J87" s="161"/>
      <c r="K87" s="161"/>
      <c r="L87" s="348"/>
      <c r="M87" s="348"/>
      <c r="N87" s="348"/>
      <c r="O87" s="161"/>
      <c r="P87" s="161"/>
      <c r="Q87" s="161"/>
      <c r="R87" s="219"/>
      <c r="S87" s="161"/>
      <c r="T87" s="161"/>
      <c r="U87" s="161"/>
      <c r="V87" s="161"/>
      <c r="W87" s="161"/>
      <c r="X87" s="161"/>
      <c r="Y87" s="161"/>
      <c r="Z87" s="161"/>
      <c r="AA87" s="161"/>
      <c r="AB87" s="161"/>
      <c r="AC87" s="161"/>
      <c r="AD87" s="161"/>
      <c r="AE87" s="161"/>
      <c r="AF87" s="161"/>
      <c r="AG87" s="161"/>
      <c r="AH87" s="161"/>
      <c r="AI87" s="161"/>
      <c r="AJ87" s="161"/>
      <c r="AK87" s="161"/>
      <c r="AL87" s="161"/>
      <c r="AM87" s="161"/>
      <c r="AN87" s="161"/>
      <c r="AO87" s="161"/>
      <c r="AP87" s="161"/>
      <c r="AQ87" s="161"/>
      <c r="AR87" s="161"/>
      <c r="AS87" s="161"/>
      <c r="AT87" s="161"/>
      <c r="AU87" s="161"/>
      <c r="AV87" s="161"/>
      <c r="AW87" s="161"/>
      <c r="AX87" s="161"/>
      <c r="AY87" s="161"/>
      <c r="AZ87" s="161"/>
      <c r="BA87" s="161"/>
      <c r="BB87" s="161"/>
      <c r="BC87" s="161"/>
      <c r="BD87" s="161"/>
      <c r="BE87" s="161"/>
      <c r="BF87" s="161"/>
      <c r="BG87" s="161"/>
      <c r="BH87" s="161"/>
      <c r="BI87" s="161"/>
      <c r="BJ87" s="161"/>
      <c r="BK87" s="161"/>
      <c r="BL87" s="161"/>
      <c r="BM87" s="161"/>
      <c r="BN87" s="161"/>
      <c r="BO87" s="161"/>
      <c r="BP87" s="161"/>
      <c r="BQ87" s="161"/>
      <c r="BR87" s="161"/>
      <c r="BS87" s="161"/>
      <c r="BT87" s="161"/>
      <c r="BU87" s="161"/>
      <c r="BV87" s="161"/>
      <c r="BW87" s="161"/>
      <c r="BX87" s="664"/>
    </row>
    <row r="88" ht="13.55" customHeight="1">
      <c r="A88" s="347"/>
      <c r="B88" s="161"/>
      <c r="C88" s="161"/>
      <c r="D88" s="161"/>
      <c r="E88" s="161"/>
      <c r="F88" s="161"/>
      <c r="G88" s="161"/>
      <c r="H88" s="161"/>
      <c r="I88" s="161"/>
      <c r="J88" s="161"/>
      <c r="K88" s="161"/>
      <c r="L88" s="161"/>
      <c r="M88" s="161"/>
      <c r="N88" s="161"/>
      <c r="O88" s="161"/>
      <c r="P88" s="161"/>
      <c r="Q88" s="161"/>
      <c r="R88" s="219"/>
      <c r="S88" s="161"/>
      <c r="T88" s="161"/>
      <c r="U88" s="161"/>
      <c r="V88" s="161"/>
      <c r="W88" s="161"/>
      <c r="X88" s="161"/>
      <c r="Y88" s="161"/>
      <c r="Z88" s="161"/>
      <c r="AA88" s="161"/>
      <c r="AB88" s="161"/>
      <c r="AC88" s="161"/>
      <c r="AD88" s="161"/>
      <c r="AE88" s="161"/>
      <c r="AF88" s="161"/>
      <c r="AG88" s="161"/>
      <c r="AH88" s="161"/>
      <c r="AI88" s="161"/>
      <c r="AJ88" s="161"/>
      <c r="AK88" s="161"/>
      <c r="AL88" s="161"/>
      <c r="AM88" s="161"/>
      <c r="AN88" s="161"/>
      <c r="AO88" s="161"/>
      <c r="AP88" s="161"/>
      <c r="AQ88" s="161"/>
      <c r="AR88" s="161"/>
      <c r="AS88" s="161"/>
      <c r="AT88" s="161"/>
      <c r="AU88" s="161"/>
      <c r="AV88" s="161"/>
      <c r="AW88" s="161"/>
      <c r="AX88" s="161"/>
      <c r="AY88" s="161"/>
      <c r="AZ88" s="161"/>
      <c r="BA88" s="161"/>
      <c r="BB88" s="161"/>
      <c r="BC88" s="161"/>
      <c r="BD88" s="161"/>
      <c r="BE88" s="161"/>
      <c r="BF88" s="161"/>
      <c r="BG88" s="161"/>
      <c r="BH88" s="161"/>
      <c r="BI88" s="161"/>
      <c r="BJ88" s="161"/>
      <c r="BK88" s="161"/>
      <c r="BL88" s="161"/>
      <c r="BM88" s="161"/>
      <c r="BN88" s="161"/>
      <c r="BO88" s="161"/>
      <c r="BP88" s="161"/>
      <c r="BQ88" s="161"/>
      <c r="BR88" s="161"/>
      <c r="BS88" s="161"/>
      <c r="BT88" s="161"/>
      <c r="BU88" s="161"/>
      <c r="BV88" s="161"/>
      <c r="BW88" s="161"/>
      <c r="BX88" s="664"/>
    </row>
    <row r="89" ht="19.35" customHeight="1">
      <c r="A89" s="347"/>
      <c r="B89" s="161"/>
      <c r="C89" s="161"/>
      <c r="D89" s="161"/>
      <c r="E89" s="161"/>
      <c r="F89" s="161"/>
      <c r="G89" s="161"/>
      <c r="H89" s="161"/>
      <c r="I89" s="161"/>
      <c r="J89" s="161"/>
      <c r="K89" s="161"/>
      <c r="L89" s="161"/>
      <c r="M89" s="161"/>
      <c r="N89" s="161"/>
      <c r="O89" s="161"/>
      <c r="P89" s="161"/>
      <c r="Q89" s="161"/>
      <c r="R89" s="219"/>
      <c r="S89" s="161"/>
      <c r="T89" s="161"/>
      <c r="U89" s="161"/>
      <c r="V89" s="161"/>
      <c r="W89" s="161"/>
      <c r="X89" s="161"/>
      <c r="Y89" s="161"/>
      <c r="Z89" s="161"/>
      <c r="AA89" s="161"/>
      <c r="AB89" s="161"/>
      <c r="AC89" s="161"/>
      <c r="AD89" s="161"/>
      <c r="AE89" s="161"/>
      <c r="AF89" s="161"/>
      <c r="AG89" s="161"/>
      <c r="AH89" s="161"/>
      <c r="AI89" s="161"/>
      <c r="AJ89" s="161"/>
      <c r="AK89" s="161"/>
      <c r="AL89" s="161"/>
      <c r="AM89" s="161"/>
      <c r="AN89" s="161"/>
      <c r="AO89" s="161"/>
      <c r="AP89" s="161"/>
      <c r="AQ89" s="161"/>
      <c r="AR89" s="161"/>
      <c r="AS89" s="161"/>
      <c r="AT89" s="161"/>
      <c r="AU89" s="161"/>
      <c r="AV89" s="161"/>
      <c r="AW89" s="161"/>
      <c r="AX89" s="161"/>
      <c r="AY89" s="161"/>
      <c r="AZ89" s="161"/>
      <c r="BA89" s="161"/>
      <c r="BB89" s="161"/>
      <c r="BC89" s="161"/>
      <c r="BD89" s="161"/>
      <c r="BE89" s="161"/>
      <c r="BF89" s="161"/>
      <c r="BG89" s="161"/>
      <c r="BH89" s="161"/>
      <c r="BI89" s="161"/>
      <c r="BJ89" s="161"/>
      <c r="BK89" s="161"/>
      <c r="BL89" s="161"/>
      <c r="BM89" s="161"/>
      <c r="BN89" s="161"/>
      <c r="BO89" s="161"/>
      <c r="BP89" s="161"/>
      <c r="BQ89" s="161"/>
      <c r="BR89" s="161"/>
      <c r="BS89" s="161"/>
      <c r="BT89" s="161"/>
      <c r="BU89" s="161"/>
      <c r="BV89" s="161"/>
      <c r="BW89" s="161"/>
      <c r="BX89" s="664"/>
    </row>
    <row r="90" ht="13.55" customHeight="1">
      <c r="A90" s="347"/>
      <c r="B90" s="161"/>
      <c r="C90" s="161"/>
      <c r="D90" s="161"/>
      <c r="E90" s="161"/>
      <c r="F90" s="161"/>
      <c r="G90" s="161"/>
      <c r="H90" s="161"/>
      <c r="I90" s="161"/>
      <c r="J90" s="161"/>
      <c r="K90" s="161"/>
      <c r="L90" s="161"/>
      <c r="M90" s="161"/>
      <c r="N90" s="161"/>
      <c r="O90" s="161"/>
      <c r="P90" s="161"/>
      <c r="Q90" s="161"/>
      <c r="R90" s="219"/>
      <c r="S90" s="161"/>
      <c r="T90" s="161"/>
      <c r="U90" s="161"/>
      <c r="V90" s="161"/>
      <c r="W90" s="161"/>
      <c r="X90" s="161"/>
      <c r="Y90" s="161"/>
      <c r="Z90" s="161"/>
      <c r="AA90" s="161"/>
      <c r="AB90" s="161"/>
      <c r="AC90" s="161"/>
      <c r="AD90" s="161"/>
      <c r="AE90" s="161"/>
      <c r="AF90" s="161"/>
      <c r="AG90" s="161"/>
      <c r="AH90" s="161"/>
      <c r="AI90" s="161"/>
      <c r="AJ90" s="161"/>
      <c r="AK90" s="161"/>
      <c r="AL90" s="161"/>
      <c r="AM90" s="161"/>
      <c r="AN90" s="161"/>
      <c r="AO90" s="161"/>
      <c r="AP90" s="161"/>
      <c r="AQ90" s="161"/>
      <c r="AR90" s="161"/>
      <c r="AS90" s="161"/>
      <c r="AT90" s="161"/>
      <c r="AU90" s="161"/>
      <c r="AV90" s="161"/>
      <c r="AW90" s="161"/>
      <c r="AX90" s="161"/>
      <c r="AY90" s="161"/>
      <c r="AZ90" s="161"/>
      <c r="BA90" s="161"/>
      <c r="BB90" s="161"/>
      <c r="BC90" s="161"/>
      <c r="BD90" s="161"/>
      <c r="BE90" s="161"/>
      <c r="BF90" s="161"/>
      <c r="BG90" s="161"/>
      <c r="BH90" s="161"/>
      <c r="BI90" s="161"/>
      <c r="BJ90" s="161"/>
      <c r="BK90" s="161"/>
      <c r="BL90" s="161"/>
      <c r="BM90" s="161"/>
      <c r="BN90" s="161"/>
      <c r="BO90" s="161"/>
      <c r="BP90" s="161"/>
      <c r="BQ90" s="161"/>
      <c r="BR90" s="161"/>
      <c r="BS90" s="161"/>
      <c r="BT90" s="161"/>
      <c r="BU90" s="161"/>
      <c r="BV90" s="161"/>
      <c r="BW90" s="161"/>
      <c r="BX90" s="664"/>
    </row>
    <row r="91" ht="13.55" customHeight="1">
      <c r="A91" t="s" s="603">
        <v>265</v>
      </c>
      <c r="B91" s="219"/>
      <c r="C91" s="219"/>
      <c r="D91" s="219"/>
      <c r="E91" s="219"/>
      <c r="F91" s="219"/>
      <c r="G91" s="219"/>
      <c r="H91" s="219"/>
      <c r="I91" s="219"/>
      <c r="J91" s="219"/>
      <c r="K91" s="219"/>
      <c r="L91" s="219"/>
      <c r="M91" s="219"/>
      <c r="N91" s="219"/>
      <c r="O91" s="219"/>
      <c r="P91" s="219"/>
      <c r="Q91" s="219"/>
      <c r="R91" s="219"/>
      <c r="S91" s="161"/>
      <c r="T91" s="161"/>
      <c r="U91" s="161"/>
      <c r="V91" s="161"/>
      <c r="W91" s="161"/>
      <c r="X91" s="161"/>
      <c r="Y91" s="161"/>
      <c r="Z91" s="161"/>
      <c r="AA91" s="161"/>
      <c r="AB91" s="161"/>
      <c r="AC91" s="161"/>
      <c r="AD91" s="161"/>
      <c r="AE91" s="161"/>
      <c r="AF91" s="161"/>
      <c r="AG91" s="161"/>
      <c r="AH91" s="161"/>
      <c r="AI91" s="161"/>
      <c r="AJ91" s="161"/>
      <c r="AK91" s="161"/>
      <c r="AL91" s="161"/>
      <c r="AM91" s="161"/>
      <c r="AN91" s="161"/>
      <c r="AO91" s="161"/>
      <c r="AP91" s="161"/>
      <c r="AQ91" s="161"/>
      <c r="AR91" s="161"/>
      <c r="AS91" s="161"/>
      <c r="AT91" s="161"/>
      <c r="AU91" s="161"/>
      <c r="AV91" s="161"/>
      <c r="AW91" s="161"/>
      <c r="AX91" s="161"/>
      <c r="AY91" s="161"/>
      <c r="AZ91" s="161"/>
      <c r="BA91" s="161"/>
      <c r="BB91" s="161"/>
      <c r="BC91" s="161"/>
      <c r="BD91" s="161"/>
      <c r="BE91" s="161"/>
      <c r="BF91" s="161"/>
      <c r="BG91" s="161"/>
      <c r="BH91" s="161"/>
      <c r="BI91" s="161"/>
      <c r="BJ91" s="161"/>
      <c r="BK91" s="161"/>
      <c r="BL91" s="161"/>
      <c r="BM91" s="161"/>
      <c r="BN91" s="161"/>
      <c r="BO91" s="161"/>
      <c r="BP91" s="161"/>
      <c r="BQ91" s="161"/>
      <c r="BR91" s="161"/>
      <c r="BS91" s="161"/>
      <c r="BT91" s="161"/>
      <c r="BU91" s="161"/>
      <c r="BV91" s="161"/>
      <c r="BW91" s="161"/>
      <c r="BX91" s="664"/>
    </row>
    <row r="92" ht="13.55" customHeight="1">
      <c r="A92" s="604"/>
      <c r="B92" s="219"/>
      <c r="C92" s="219"/>
      <c r="D92" s="219"/>
      <c r="E92" s="219"/>
      <c r="F92" s="219"/>
      <c r="G92" s="219"/>
      <c r="H92" s="219"/>
      <c r="I92" s="219"/>
      <c r="J92" s="219"/>
      <c r="K92" s="219"/>
      <c r="L92" s="219"/>
      <c r="M92" s="219"/>
      <c r="N92" s="219"/>
      <c r="O92" s="219"/>
      <c r="P92" s="219"/>
      <c r="Q92" s="219"/>
      <c r="R92" s="219"/>
      <c r="S92" s="161"/>
      <c r="T92" s="161"/>
      <c r="U92" s="161"/>
      <c r="V92" s="161"/>
      <c r="W92" s="161"/>
      <c r="X92" s="161"/>
      <c r="Y92" s="161"/>
      <c r="Z92" s="161"/>
      <c r="AA92" s="161"/>
      <c r="AB92" s="161"/>
      <c r="AC92" s="161"/>
      <c r="AD92" s="161"/>
      <c r="AE92" s="161"/>
      <c r="AF92" s="161"/>
      <c r="AG92" s="161"/>
      <c r="AH92" s="161"/>
      <c r="AI92" s="161"/>
      <c r="AJ92" s="161"/>
      <c r="AK92" s="161"/>
      <c r="AL92" s="161"/>
      <c r="AM92" s="161"/>
      <c r="AN92" s="161"/>
      <c r="AO92" s="161"/>
      <c r="AP92" s="161"/>
      <c r="AQ92" s="161"/>
      <c r="AR92" s="161"/>
      <c r="AS92" s="161"/>
      <c r="AT92" s="161"/>
      <c r="AU92" s="161"/>
      <c r="AV92" s="161"/>
      <c r="AW92" s="161"/>
      <c r="AX92" s="161"/>
      <c r="AY92" s="161"/>
      <c r="AZ92" s="161"/>
      <c r="BA92" s="161"/>
      <c r="BB92" s="161"/>
      <c r="BC92" s="161"/>
      <c r="BD92" s="161"/>
      <c r="BE92" s="161"/>
      <c r="BF92" s="161"/>
      <c r="BG92" s="161"/>
      <c r="BH92" s="161"/>
      <c r="BI92" s="161"/>
      <c r="BJ92" s="161"/>
      <c r="BK92" s="161"/>
      <c r="BL92" s="161"/>
      <c r="BM92" s="161"/>
      <c r="BN92" s="161"/>
      <c r="BO92" s="161"/>
      <c r="BP92" s="161"/>
      <c r="BQ92" s="161"/>
      <c r="BR92" s="161"/>
      <c r="BS92" s="161"/>
      <c r="BT92" s="161"/>
      <c r="BU92" s="161"/>
      <c r="BV92" s="161"/>
      <c r="BW92" s="161"/>
      <c r="BX92" s="664"/>
    </row>
    <row r="93" ht="13.55" customHeight="1">
      <c r="A93" s="604"/>
      <c r="B93" s="219"/>
      <c r="C93" s="219"/>
      <c r="D93" s="219"/>
      <c r="E93" s="219"/>
      <c r="F93" s="219"/>
      <c r="G93" s="219"/>
      <c r="H93" s="219"/>
      <c r="I93" s="219"/>
      <c r="J93" s="219"/>
      <c r="K93" s="219"/>
      <c r="L93" s="219"/>
      <c r="M93" s="219"/>
      <c r="N93" s="219"/>
      <c r="O93" s="219"/>
      <c r="P93" s="219"/>
      <c r="Q93" s="219"/>
      <c r="R93" s="219"/>
      <c r="S93" s="161"/>
      <c r="T93" s="161"/>
      <c r="U93" s="161"/>
      <c r="V93" s="161"/>
      <c r="W93" s="161"/>
      <c r="X93" s="161"/>
      <c r="Y93" s="161"/>
      <c r="Z93" s="161"/>
      <c r="AA93" s="161"/>
      <c r="AB93" s="161"/>
      <c r="AC93" s="161"/>
      <c r="AD93" s="161"/>
      <c r="AE93" s="161"/>
      <c r="AF93" s="161"/>
      <c r="AG93" s="161"/>
      <c r="AH93" s="161"/>
      <c r="AI93" s="161"/>
      <c r="AJ93" s="161"/>
      <c r="AK93" s="161"/>
      <c r="AL93" s="161"/>
      <c r="AM93" s="161"/>
      <c r="AN93" s="161"/>
      <c r="AO93" s="161"/>
      <c r="AP93" s="161"/>
      <c r="AQ93" s="161"/>
      <c r="AR93" s="161"/>
      <c r="AS93" s="161"/>
      <c r="AT93" s="161"/>
      <c r="AU93" s="161"/>
      <c r="AV93" s="161"/>
      <c r="AW93" s="161"/>
      <c r="AX93" s="161"/>
      <c r="AY93" s="161"/>
      <c r="AZ93" s="161"/>
      <c r="BA93" s="161"/>
      <c r="BB93" s="161"/>
      <c r="BC93" s="161"/>
      <c r="BD93" s="161"/>
      <c r="BE93" s="161"/>
      <c r="BF93" s="161"/>
      <c r="BG93" s="161"/>
      <c r="BH93" s="161"/>
      <c r="BI93" s="161"/>
      <c r="BJ93" s="161"/>
      <c r="BK93" s="161"/>
      <c r="BL93" s="161"/>
      <c r="BM93" s="161"/>
      <c r="BN93" s="161"/>
      <c r="BO93" s="161"/>
      <c r="BP93" s="161"/>
      <c r="BQ93" s="161"/>
      <c r="BR93" s="161"/>
      <c r="BS93" s="161"/>
      <c r="BT93" s="161"/>
      <c r="BU93" s="161"/>
      <c r="BV93" s="161"/>
      <c r="BW93" s="161"/>
      <c r="BX93" s="664"/>
    </row>
    <row r="94" ht="13.55" customHeight="1">
      <c r="A94" s="347"/>
      <c r="B94" s="161"/>
      <c r="C94" s="161"/>
      <c r="D94" s="161"/>
      <c r="E94" s="161"/>
      <c r="F94" s="161"/>
      <c r="G94" s="161"/>
      <c r="H94" s="161"/>
      <c r="I94" s="161"/>
      <c r="J94" s="161"/>
      <c r="K94" s="161"/>
      <c r="L94" s="161"/>
      <c r="M94" s="161"/>
      <c r="N94" s="161"/>
      <c r="O94" s="161"/>
      <c r="P94" s="161"/>
      <c r="Q94" s="161"/>
      <c r="R94" s="219"/>
      <c r="S94" s="161"/>
      <c r="T94" s="161"/>
      <c r="U94" s="161"/>
      <c r="V94" s="161"/>
      <c r="W94" s="161"/>
      <c r="X94" s="161"/>
      <c r="Y94" s="161"/>
      <c r="Z94" s="161"/>
      <c r="AA94" s="161"/>
      <c r="AB94" s="161"/>
      <c r="AC94" s="161"/>
      <c r="AD94" s="161"/>
      <c r="AE94" s="161"/>
      <c r="AF94" s="161"/>
      <c r="AG94" s="161"/>
      <c r="AH94" s="161"/>
      <c r="AI94" s="161"/>
      <c r="AJ94" s="161"/>
      <c r="AK94" s="161"/>
      <c r="AL94" s="161"/>
      <c r="AM94" s="161"/>
      <c r="AN94" s="161"/>
      <c r="AO94" s="161"/>
      <c r="AP94" s="161"/>
      <c r="AQ94" s="161"/>
      <c r="AR94" s="161"/>
      <c r="AS94" s="161"/>
      <c r="AT94" s="161"/>
      <c r="AU94" s="161"/>
      <c r="AV94" s="161"/>
      <c r="AW94" s="161"/>
      <c r="AX94" s="161"/>
      <c r="AY94" s="161"/>
      <c r="AZ94" s="161"/>
      <c r="BA94" s="161"/>
      <c r="BB94" s="161"/>
      <c r="BC94" s="161"/>
      <c r="BD94" s="161"/>
      <c r="BE94" s="161"/>
      <c r="BF94" s="161"/>
      <c r="BG94" s="161"/>
      <c r="BH94" s="161"/>
      <c r="BI94" s="161"/>
      <c r="BJ94" s="161"/>
      <c r="BK94" s="161"/>
      <c r="BL94" s="161"/>
      <c r="BM94" s="161"/>
      <c r="BN94" s="161"/>
      <c r="BO94" s="161"/>
      <c r="BP94" s="161"/>
      <c r="BQ94" s="161"/>
      <c r="BR94" s="161"/>
      <c r="BS94" s="161"/>
      <c r="BT94" s="161"/>
      <c r="BU94" s="161"/>
      <c r="BV94" s="161"/>
      <c r="BW94" s="161"/>
      <c r="BX94" s="664"/>
    </row>
    <row r="95" ht="21" customHeight="1">
      <c r="A95" s="347"/>
      <c r="B95" t="s" s="374">
        <v>266</v>
      </c>
      <c r="C95" s="161"/>
      <c r="D95" s="460"/>
      <c r="E95" s="460"/>
      <c r="F95" s="460"/>
      <c r="G95" s="460"/>
      <c r="H95" s="161"/>
      <c r="I95" s="161"/>
      <c r="J95" s="161"/>
      <c r="K95" s="161"/>
      <c r="L95" s="161"/>
      <c r="M95" s="161"/>
      <c r="N95" s="161"/>
      <c r="O95" s="161"/>
      <c r="P95" s="161"/>
      <c r="Q95" s="161"/>
      <c r="R95" s="219"/>
      <c r="S95" s="161"/>
      <c r="T95" s="161"/>
      <c r="U95" s="161"/>
      <c r="V95" s="161"/>
      <c r="W95" s="161"/>
      <c r="X95" s="161"/>
      <c r="Y95" s="161"/>
      <c r="Z95" s="161"/>
      <c r="AA95" s="161"/>
      <c r="AB95" s="161"/>
      <c r="AC95" s="161"/>
      <c r="AD95" s="161"/>
      <c r="AE95" s="161"/>
      <c r="AF95" s="161"/>
      <c r="AG95" s="161"/>
      <c r="AH95" s="161"/>
      <c r="AI95" s="161"/>
      <c r="AJ95" s="161"/>
      <c r="AK95" s="161"/>
      <c r="AL95" s="161"/>
      <c r="AM95" s="161"/>
      <c r="AN95" s="161"/>
      <c r="AO95" s="161"/>
      <c r="AP95" s="161"/>
      <c r="AQ95" s="161"/>
      <c r="AR95" s="161"/>
      <c r="AS95" s="161"/>
      <c r="AT95" s="161"/>
      <c r="AU95" s="161"/>
      <c r="AV95" s="161"/>
      <c r="AW95" s="161"/>
      <c r="AX95" s="161"/>
      <c r="AY95" s="161"/>
      <c r="AZ95" s="161"/>
      <c r="BA95" s="161"/>
      <c r="BB95" s="161"/>
      <c r="BC95" s="161"/>
      <c r="BD95" s="161"/>
      <c r="BE95" s="161"/>
      <c r="BF95" s="161"/>
      <c r="BG95" s="161"/>
      <c r="BH95" s="161"/>
      <c r="BI95" s="161"/>
      <c r="BJ95" s="161"/>
      <c r="BK95" s="161"/>
      <c r="BL95" s="161"/>
      <c r="BM95" s="161"/>
      <c r="BN95" s="161"/>
      <c r="BO95" s="161"/>
      <c r="BP95" s="161"/>
      <c r="BQ95" s="161"/>
      <c r="BR95" s="161"/>
      <c r="BS95" s="161"/>
      <c r="BT95" s="161"/>
      <c r="BU95" s="161"/>
      <c r="BV95" s="161"/>
      <c r="BW95" s="161"/>
      <c r="BX95" s="664"/>
    </row>
    <row r="96" ht="15" customHeight="1">
      <c r="A96" s="347"/>
      <c r="B96" s="378"/>
      <c r="C96" s="378"/>
      <c r="D96" s="378"/>
      <c r="E96" s="378"/>
      <c r="F96" s="378"/>
      <c r="G96" s="378"/>
      <c r="H96" s="378"/>
      <c r="I96" s="378"/>
      <c r="J96" s="161"/>
      <c r="K96" s="161"/>
      <c r="L96" s="161"/>
      <c r="M96" s="161"/>
      <c r="N96" s="161"/>
      <c r="O96" s="161"/>
      <c r="P96" s="161"/>
      <c r="Q96" s="161"/>
      <c r="R96" s="219"/>
      <c r="S96" s="161"/>
      <c r="T96" s="161"/>
      <c r="U96" s="161"/>
      <c r="V96" s="161"/>
      <c r="W96" s="161"/>
      <c r="X96" s="161"/>
      <c r="Y96" s="161"/>
      <c r="Z96" s="161"/>
      <c r="AA96" s="161"/>
      <c r="AB96" s="161"/>
      <c r="AC96" s="161"/>
      <c r="AD96" s="161"/>
      <c r="AE96" s="161"/>
      <c r="AF96" s="161"/>
      <c r="AG96" s="161"/>
      <c r="AH96" s="161"/>
      <c r="AI96" s="161"/>
      <c r="AJ96" s="161"/>
      <c r="AK96" s="161"/>
      <c r="AL96" s="161"/>
      <c r="AM96" s="161"/>
      <c r="AN96" s="161"/>
      <c r="AO96" s="161"/>
      <c r="AP96" s="161"/>
      <c r="AQ96" s="161"/>
      <c r="AR96" s="161"/>
      <c r="AS96" s="161"/>
      <c r="AT96" s="161"/>
      <c r="AU96" s="161"/>
      <c r="AV96" s="161"/>
      <c r="AW96" s="161"/>
      <c r="AX96" s="161"/>
      <c r="AY96" s="161"/>
      <c r="AZ96" s="161"/>
      <c r="BA96" s="161"/>
      <c r="BB96" s="161"/>
      <c r="BC96" s="161"/>
      <c r="BD96" s="161"/>
      <c r="BE96" s="161"/>
      <c r="BF96" s="161"/>
      <c r="BG96" s="161"/>
      <c r="BH96" s="161"/>
      <c r="BI96" s="161"/>
      <c r="BJ96" s="161"/>
      <c r="BK96" s="161"/>
      <c r="BL96" s="161"/>
      <c r="BM96" s="161"/>
      <c r="BN96" s="161"/>
      <c r="BO96" s="161"/>
      <c r="BP96" s="161"/>
      <c r="BQ96" s="161"/>
      <c r="BR96" s="161"/>
      <c r="BS96" s="161"/>
      <c r="BT96" s="161"/>
      <c r="BU96" s="161"/>
      <c r="BV96" s="161"/>
      <c r="BW96" s="161"/>
      <c r="BX96" s="664"/>
    </row>
    <row r="97" ht="36.75" customHeight="1">
      <c r="A97" s="379"/>
      <c r="B97" t="s" s="729">
        <v>306</v>
      </c>
      <c r="C97" s="730"/>
      <c r="D97" s="731"/>
      <c r="E97" t="s" s="732">
        <v>268</v>
      </c>
      <c r="F97" s="733"/>
      <c r="G97" s="733"/>
      <c r="H97" s="733"/>
      <c r="I97" s="734"/>
      <c r="J97" s="364">
        <f>_xlfn.IFERROR(FIND("Error",E97),0)</f>
        <v>0</v>
      </c>
      <c r="K97" s="161"/>
      <c r="L97" s="161"/>
      <c r="M97" s="161"/>
      <c r="N97" s="161"/>
      <c r="O97" s="161"/>
      <c r="P97" s="161"/>
      <c r="Q97" s="161"/>
      <c r="R97" s="219"/>
      <c r="S97" s="161"/>
      <c r="T97" s="161"/>
      <c r="U97" s="161"/>
      <c r="V97" s="161"/>
      <c r="W97" s="161"/>
      <c r="X97" s="161"/>
      <c r="Y97" s="161"/>
      <c r="Z97" s="161"/>
      <c r="AA97" s="161"/>
      <c r="AB97" s="161"/>
      <c r="AC97" s="161"/>
      <c r="AD97" s="161"/>
      <c r="AE97" s="161"/>
      <c r="AF97" s="161"/>
      <c r="AG97" s="161"/>
      <c r="AH97" s="161"/>
      <c r="AI97" s="161"/>
      <c r="AJ97" s="161"/>
      <c r="AK97" s="161"/>
      <c r="AL97" s="161"/>
      <c r="AM97" s="161"/>
      <c r="AN97" s="161"/>
      <c r="AO97" s="161"/>
      <c r="AP97" s="161"/>
      <c r="AQ97" s="161"/>
      <c r="AR97" s="161"/>
      <c r="AS97" s="161"/>
      <c r="AT97" s="161"/>
      <c r="AU97" s="161"/>
      <c r="AV97" s="161"/>
      <c r="AW97" s="161"/>
      <c r="AX97" s="161"/>
      <c r="AY97" s="161"/>
      <c r="AZ97" s="161"/>
      <c r="BA97" s="161"/>
      <c r="BB97" s="161"/>
      <c r="BC97" s="161"/>
      <c r="BD97" s="161"/>
      <c r="BE97" s="161"/>
      <c r="BF97" s="161"/>
      <c r="BG97" s="161"/>
      <c r="BH97" s="161"/>
      <c r="BI97" s="161"/>
      <c r="BJ97" s="161"/>
      <c r="BK97" s="161"/>
      <c r="BL97" s="161"/>
      <c r="BM97" s="161"/>
      <c r="BN97" s="161"/>
      <c r="BO97" s="161"/>
      <c r="BP97" s="161"/>
      <c r="BQ97" s="161"/>
      <c r="BR97" s="161"/>
      <c r="BS97" s="161"/>
      <c r="BT97" s="161"/>
      <c r="BU97" s="161"/>
      <c r="BV97" s="161"/>
      <c r="BW97" s="161"/>
      <c r="BX97" s="664"/>
    </row>
    <row r="98" ht="14.05" customHeight="1">
      <c r="A98" s="347"/>
      <c r="B98" s="348"/>
      <c r="C98" s="348"/>
      <c r="D98" s="348"/>
      <c r="E98" s="348"/>
      <c r="F98" s="348"/>
      <c r="G98" s="348"/>
      <c r="H98" s="348"/>
      <c r="I98" s="348"/>
      <c r="J98" s="161"/>
      <c r="K98" s="161"/>
      <c r="L98" s="161"/>
      <c r="M98" s="161"/>
      <c r="N98" s="161"/>
      <c r="O98" s="161"/>
      <c r="P98" s="161"/>
      <c r="Q98" s="161"/>
      <c r="R98" s="219"/>
      <c r="S98" s="161"/>
      <c r="T98" s="161"/>
      <c r="U98" s="161"/>
      <c r="V98" s="161"/>
      <c r="W98" s="161"/>
      <c r="X98" s="161"/>
      <c r="Y98" s="161"/>
      <c r="Z98" s="161"/>
      <c r="AA98" s="161"/>
      <c r="AB98" s="161"/>
      <c r="AC98" s="161"/>
      <c r="AD98" s="161"/>
      <c r="AE98" s="161"/>
      <c r="AF98" s="161"/>
      <c r="AG98" s="161"/>
      <c r="AH98" s="161"/>
      <c r="AI98" s="161"/>
      <c r="AJ98" s="161"/>
      <c r="AK98" s="161"/>
      <c r="AL98" s="161"/>
      <c r="AM98" s="161"/>
      <c r="AN98" s="161"/>
      <c r="AO98" s="161"/>
      <c r="AP98" s="161"/>
      <c r="AQ98" s="161"/>
      <c r="AR98" s="161"/>
      <c r="AS98" s="161"/>
      <c r="AT98" s="161"/>
      <c r="AU98" s="161"/>
      <c r="AV98" s="161"/>
      <c r="AW98" s="161"/>
      <c r="AX98" s="161"/>
      <c r="AY98" s="161"/>
      <c r="AZ98" s="161"/>
      <c r="BA98" s="161"/>
      <c r="BB98" s="161"/>
      <c r="BC98" s="161"/>
      <c r="BD98" s="161"/>
      <c r="BE98" s="161"/>
      <c r="BF98" s="161"/>
      <c r="BG98" s="161"/>
      <c r="BH98" s="161"/>
      <c r="BI98" s="161"/>
      <c r="BJ98" s="161"/>
      <c r="BK98" s="161"/>
      <c r="BL98" s="161"/>
      <c r="BM98" s="161"/>
      <c r="BN98" s="161"/>
      <c r="BO98" s="161"/>
      <c r="BP98" s="161"/>
      <c r="BQ98" s="161"/>
      <c r="BR98" s="161"/>
      <c r="BS98" s="161"/>
      <c r="BT98" s="161"/>
      <c r="BU98" s="161"/>
      <c r="BV98" s="161"/>
      <c r="BW98" s="161"/>
      <c r="BX98" s="664"/>
    </row>
    <row r="99" ht="21" customHeight="1">
      <c r="A99" s="347"/>
      <c r="B99" t="s" s="374">
        <v>270</v>
      </c>
      <c r="C99" s="161"/>
      <c r="D99" s="161"/>
      <c r="E99" s="161"/>
      <c r="F99" s="161"/>
      <c r="G99" s="161"/>
      <c r="H99" s="161"/>
      <c r="I99" s="161"/>
      <c r="J99" s="161"/>
      <c r="K99" s="161"/>
      <c r="L99" s="161"/>
      <c r="M99" s="161"/>
      <c r="N99" s="161"/>
      <c r="O99" s="161"/>
      <c r="P99" s="161"/>
      <c r="Q99" s="161"/>
      <c r="R99" s="219"/>
      <c r="S99" s="161"/>
      <c r="T99" s="161"/>
      <c r="U99" s="161"/>
      <c r="V99" s="161"/>
      <c r="W99" s="161"/>
      <c r="X99" s="161"/>
      <c r="Y99" s="161"/>
      <c r="Z99" s="161"/>
      <c r="AA99" s="161"/>
      <c r="AB99" s="161"/>
      <c r="AC99" s="161"/>
      <c r="AD99" s="161"/>
      <c r="AE99" s="161"/>
      <c r="AF99" s="161"/>
      <c r="AG99" s="161"/>
      <c r="AH99" s="161"/>
      <c r="AI99" s="161"/>
      <c r="AJ99" s="161"/>
      <c r="AK99" s="161"/>
      <c r="AL99" s="161"/>
      <c r="AM99" s="161"/>
      <c r="AN99" s="161"/>
      <c r="AO99" s="161"/>
      <c r="AP99" s="161"/>
      <c r="AQ99" s="161"/>
      <c r="AR99" s="161"/>
      <c r="AS99" s="161"/>
      <c r="AT99" s="161"/>
      <c r="AU99" s="161"/>
      <c r="AV99" s="161"/>
      <c r="AW99" s="161"/>
      <c r="AX99" s="161"/>
      <c r="AY99" s="161"/>
      <c r="AZ99" s="161"/>
      <c r="BA99" s="161"/>
      <c r="BB99" s="161"/>
      <c r="BC99" s="161"/>
      <c r="BD99" s="161"/>
      <c r="BE99" s="161"/>
      <c r="BF99" s="161"/>
      <c r="BG99" s="161"/>
      <c r="BH99" s="161"/>
      <c r="BI99" s="161"/>
      <c r="BJ99" s="161"/>
      <c r="BK99" s="161"/>
      <c r="BL99" s="161"/>
      <c r="BM99" s="161"/>
      <c r="BN99" s="161"/>
      <c r="BO99" s="161"/>
      <c r="BP99" s="161"/>
      <c r="BQ99" s="161"/>
      <c r="BR99" s="161"/>
      <c r="BS99" s="161"/>
      <c r="BT99" s="161"/>
      <c r="BU99" s="161"/>
      <c r="BV99" s="161"/>
      <c r="BW99" s="161"/>
      <c r="BX99" s="664"/>
    </row>
    <row r="100" ht="13.55" customHeight="1">
      <c r="A100" s="347"/>
      <c r="B100" s="161"/>
      <c r="C100" s="161"/>
      <c r="D100" s="161"/>
      <c r="E100" s="161"/>
      <c r="F100" s="161"/>
      <c r="G100" s="161"/>
      <c r="H100" s="161"/>
      <c r="I100" s="161"/>
      <c r="J100" s="161"/>
      <c r="K100" s="161"/>
      <c r="L100" s="161"/>
      <c r="M100" s="161"/>
      <c r="N100" s="161"/>
      <c r="O100" s="161"/>
      <c r="P100" s="161"/>
      <c r="Q100" s="161"/>
      <c r="R100" s="219"/>
      <c r="S100" s="161"/>
      <c r="T100" s="161"/>
      <c r="U100" s="161"/>
      <c r="V100" s="161"/>
      <c r="W100" s="161"/>
      <c r="X100" s="161"/>
      <c r="Y100" s="161"/>
      <c r="Z100" s="161"/>
      <c r="AA100" s="161"/>
      <c r="AB100" s="161"/>
      <c r="AC100" s="161"/>
      <c r="AD100" s="161"/>
      <c r="AE100" s="161"/>
      <c r="AF100" s="161"/>
      <c r="AG100" s="161"/>
      <c r="AH100" s="161"/>
      <c r="AI100" s="161"/>
      <c r="AJ100" s="161"/>
      <c r="AK100" s="161"/>
      <c r="AL100" s="161"/>
      <c r="AM100" s="161"/>
      <c r="AN100" s="161"/>
      <c r="AO100" s="161"/>
      <c r="AP100" s="161"/>
      <c r="AQ100" s="161"/>
      <c r="AR100" s="161"/>
      <c r="AS100" s="161"/>
      <c r="AT100" s="161"/>
      <c r="AU100" s="161"/>
      <c r="AV100" s="161"/>
      <c r="AW100" s="161"/>
      <c r="AX100" s="161"/>
      <c r="AY100" s="161"/>
      <c r="AZ100" s="161"/>
      <c r="BA100" s="161"/>
      <c r="BB100" s="161"/>
      <c r="BC100" s="161"/>
      <c r="BD100" s="161"/>
      <c r="BE100" s="161"/>
      <c r="BF100" s="161"/>
      <c r="BG100" s="161"/>
      <c r="BH100" s="161"/>
      <c r="BI100" s="161"/>
      <c r="BJ100" s="161"/>
      <c r="BK100" s="161"/>
      <c r="BL100" s="161"/>
      <c r="BM100" s="161"/>
      <c r="BN100" s="161"/>
      <c r="BO100" s="161"/>
      <c r="BP100" s="161"/>
      <c r="BQ100" s="161"/>
      <c r="BR100" s="161"/>
      <c r="BS100" s="161"/>
      <c r="BT100" s="161"/>
      <c r="BU100" s="161"/>
      <c r="BV100" s="161"/>
      <c r="BW100" s="161"/>
      <c r="BX100" s="664"/>
    </row>
    <row r="101" ht="15" customHeight="1">
      <c r="A101" s="347"/>
      <c r="B101" s="378"/>
      <c r="C101" s="378"/>
      <c r="D101" s="378"/>
      <c r="E101" s="378"/>
      <c r="F101" s="378"/>
      <c r="G101" s="378"/>
      <c r="H101" s="378"/>
      <c r="I101" s="161"/>
      <c r="J101" s="161"/>
      <c r="K101" s="161"/>
      <c r="L101" s="161"/>
      <c r="M101" s="161"/>
      <c r="N101" s="161"/>
      <c r="O101" s="161"/>
      <c r="P101" s="161"/>
      <c r="Q101" s="161"/>
      <c r="R101" s="219"/>
      <c r="S101" s="161"/>
      <c r="T101" s="161"/>
      <c r="U101" s="161"/>
      <c r="V101" s="161"/>
      <c r="W101" s="161"/>
      <c r="X101" s="161"/>
      <c r="Y101" s="161"/>
      <c r="Z101" s="161"/>
      <c r="AA101" s="161"/>
      <c r="AB101" s="161"/>
      <c r="AC101" s="161"/>
      <c r="AD101" s="161"/>
      <c r="AE101" s="161"/>
      <c r="AF101" s="161"/>
      <c r="AG101" s="161"/>
      <c r="AH101" s="161"/>
      <c r="AI101" s="161"/>
      <c r="AJ101" s="161"/>
      <c r="AK101" s="161"/>
      <c r="AL101" s="161"/>
      <c r="AM101" s="161"/>
      <c r="AN101" s="161"/>
      <c r="AO101" s="161"/>
      <c r="AP101" s="161"/>
      <c r="AQ101" s="161"/>
      <c r="AR101" s="161"/>
      <c r="AS101" s="161"/>
      <c r="AT101" s="161"/>
      <c r="AU101" s="161"/>
      <c r="AV101" s="161"/>
      <c r="AW101" s="161"/>
      <c r="AX101" s="161"/>
      <c r="AY101" s="161"/>
      <c r="AZ101" s="161"/>
      <c r="BA101" s="161"/>
      <c r="BB101" s="161"/>
      <c r="BC101" s="161"/>
      <c r="BD101" s="161"/>
      <c r="BE101" s="161"/>
      <c r="BF101" s="161"/>
      <c r="BG101" s="161"/>
      <c r="BH101" s="161"/>
      <c r="BI101" s="161"/>
      <c r="BJ101" s="161"/>
      <c r="BK101" s="161"/>
      <c r="BL101" s="161"/>
      <c r="BM101" s="161"/>
      <c r="BN101" s="161"/>
      <c r="BO101" s="161"/>
      <c r="BP101" s="161"/>
      <c r="BQ101" s="161"/>
      <c r="BR101" s="161"/>
      <c r="BS101" s="161"/>
      <c r="BT101" s="161"/>
      <c r="BU101" s="161"/>
      <c r="BV101" s="161"/>
      <c r="BW101" s="161"/>
      <c r="BX101" s="664"/>
    </row>
    <row r="102" ht="51" customHeight="1">
      <c r="A102" s="379"/>
      <c r="B102" t="s" s="735">
        <v>200</v>
      </c>
      <c r="C102" t="s" s="736">
        <v>129</v>
      </c>
      <c r="D102" t="s" s="736">
        <v>90</v>
      </c>
      <c r="E102" t="s" s="736">
        <v>273</v>
      </c>
      <c r="F102" t="s" s="736">
        <v>274</v>
      </c>
      <c r="G102" t="s" s="736">
        <v>275</v>
      </c>
      <c r="H102" t="s" s="737">
        <v>276</v>
      </c>
      <c r="I102" s="620"/>
      <c r="J102" s="161"/>
      <c r="K102" s="161"/>
      <c r="L102" s="161"/>
      <c r="M102" s="161"/>
      <c r="N102" s="161"/>
      <c r="O102" s="161"/>
      <c r="P102" s="161"/>
      <c r="Q102" s="161"/>
      <c r="R102" s="219"/>
      <c r="S102" s="161"/>
      <c r="T102" s="161"/>
      <c r="U102" s="161"/>
      <c r="V102" s="161"/>
      <c r="W102" s="161"/>
      <c r="X102" s="161"/>
      <c r="Y102" s="161"/>
      <c r="Z102" s="161"/>
      <c r="AA102" s="161"/>
      <c r="AB102" s="161"/>
      <c r="AC102" s="161"/>
      <c r="AD102" s="161"/>
      <c r="AE102" s="161"/>
      <c r="AF102" s="161"/>
      <c r="AG102" s="161"/>
      <c r="AH102" s="161"/>
      <c r="AI102" s="161"/>
      <c r="AJ102" s="161"/>
      <c r="AK102" s="161"/>
      <c r="AL102" s="161"/>
      <c r="AM102" s="161"/>
      <c r="AN102" s="161"/>
      <c r="AO102" s="161"/>
      <c r="AP102" s="161"/>
      <c r="AQ102" s="161"/>
      <c r="AR102" s="161"/>
      <c r="AS102" s="161"/>
      <c r="AT102" s="161"/>
      <c r="AU102" s="161"/>
      <c r="AV102" s="161"/>
      <c r="AW102" s="161"/>
      <c r="AX102" s="161"/>
      <c r="AY102" s="161"/>
      <c r="AZ102" s="161"/>
      <c r="BA102" s="161"/>
      <c r="BB102" s="161"/>
      <c r="BC102" s="161"/>
      <c r="BD102" s="161"/>
      <c r="BE102" s="161"/>
      <c r="BF102" s="161"/>
      <c r="BG102" s="161"/>
      <c r="BH102" s="161"/>
      <c r="BI102" s="161"/>
      <c r="BJ102" s="161"/>
      <c r="BK102" s="161"/>
      <c r="BL102" s="161"/>
      <c r="BM102" s="161"/>
      <c r="BN102" s="161"/>
      <c r="BO102" s="161"/>
      <c r="BP102" s="161"/>
      <c r="BQ102" s="161"/>
      <c r="BR102" s="161"/>
      <c r="BS102" s="161"/>
      <c r="BT102" s="161"/>
      <c r="BU102" s="161"/>
      <c r="BV102" s="161"/>
      <c r="BW102" s="161"/>
      <c r="BX102" s="664"/>
    </row>
    <row r="103" ht="30.75" customHeight="1">
      <c r="A103" s="379"/>
      <c r="B103" t="s" s="738">
        <v>299</v>
      </c>
      <c r="C103" t="s" s="739">
        <v>151</v>
      </c>
      <c r="D103" t="s" s="740">
        <v>307</v>
      </c>
      <c r="E103" s="741">
        <f>SUMIF($D$11:$E$30,D103,$L$11:$L$30)</f>
      </c>
      <c r="F103" s="741">
        <f>IF($I$31+$I$59+$I$86=0,0,SUMIF($D$39:$D$58,D103,$L$39:$N$58)+SUMIF($F$66:$G$85,D103,$L$66:$L$85)+SUMIF($D$11:$E$30,D103,$AE$11:$AE$30))</f>
        <v>0</v>
      </c>
      <c r="G103" s="741">
        <f>$F$103-$E$103</f>
      </c>
      <c r="H103" s="742">
        <f>IF(G108&gt;=0,"Yes ✓","No ▲")</f>
      </c>
      <c r="I103" s="620"/>
      <c r="J103" s="161"/>
      <c r="K103" s="161"/>
      <c r="L103" s="161"/>
      <c r="M103" s="161"/>
      <c r="N103" s="161"/>
      <c r="O103" s="161"/>
      <c r="P103" s="161"/>
      <c r="Q103" s="161"/>
      <c r="R103" s="219"/>
      <c r="S103" s="161"/>
      <c r="T103" s="161"/>
      <c r="U103" s="161"/>
      <c r="V103" s="161"/>
      <c r="W103" s="161"/>
      <c r="X103" s="161"/>
      <c r="Y103" s="161"/>
      <c r="Z103" s="161"/>
      <c r="AA103" s="161"/>
      <c r="AB103" s="161"/>
      <c r="AC103" s="161"/>
      <c r="AD103" s="161"/>
      <c r="AE103" s="161"/>
      <c r="AF103" s="161"/>
      <c r="AG103" s="161"/>
      <c r="AH103" s="161"/>
      <c r="AI103" s="161"/>
      <c r="AJ103" s="161"/>
      <c r="AK103" s="161"/>
      <c r="AL103" s="161"/>
      <c r="AM103" s="161"/>
      <c r="AN103" s="161"/>
      <c r="AO103" s="161"/>
      <c r="AP103" s="161"/>
      <c r="AQ103" s="161"/>
      <c r="AR103" s="161"/>
      <c r="AS103" s="161"/>
      <c r="AT103" s="161"/>
      <c r="AU103" s="161"/>
      <c r="AV103" s="161"/>
      <c r="AW103" s="161"/>
      <c r="AX103" s="161"/>
      <c r="AY103" s="161"/>
      <c r="AZ103" s="161"/>
      <c r="BA103" s="161"/>
      <c r="BB103" s="161"/>
      <c r="BC103" s="161"/>
      <c r="BD103" s="161"/>
      <c r="BE103" s="161"/>
      <c r="BF103" s="161"/>
      <c r="BG103" s="161"/>
      <c r="BH103" s="161"/>
      <c r="BI103" s="161"/>
      <c r="BJ103" s="161"/>
      <c r="BK103" s="161"/>
      <c r="BL103" s="161"/>
      <c r="BM103" s="161"/>
      <c r="BN103" s="161"/>
      <c r="BO103" s="161"/>
      <c r="BP103" s="161"/>
      <c r="BQ103" s="161"/>
      <c r="BR103" s="161"/>
      <c r="BS103" s="161"/>
      <c r="BT103" s="161"/>
      <c r="BU103" s="161"/>
      <c r="BV103" s="161"/>
      <c r="BW103" s="161"/>
      <c r="BX103" s="664"/>
    </row>
    <row r="104" ht="30.75" customHeight="1">
      <c r="A104" s="379"/>
      <c r="B104" s="743"/>
      <c r="C104" s="744"/>
      <c r="D104" t="s" s="745">
        <v>308</v>
      </c>
      <c r="E104" s="746">
        <f>SUMIF($D$11:$E$30,D104,$L$11:$L$30)</f>
      </c>
      <c r="F104" s="746">
        <f>IF($I$31+$I$59+$I$86=0,0,SUMIF($D$39:$D$58,D104,$L$39:$N$58)+SUMIF($F$66:$G$85,D104,$L$66:$L$85)+SUMIF($D$11:$E$30,D104,$AE$11:$AE$30))</f>
        <v>0</v>
      </c>
      <c r="G104" s="746">
        <f>$F$104-$E$104</f>
      </c>
      <c r="H104" s="747"/>
      <c r="I104" s="620"/>
      <c r="J104" s="161"/>
      <c r="K104" s="161"/>
      <c r="L104" s="161"/>
      <c r="M104" s="161"/>
      <c r="N104" s="161"/>
      <c r="O104" s="161"/>
      <c r="P104" s="161"/>
      <c r="Q104" s="161"/>
      <c r="R104" s="219"/>
      <c r="S104" s="161"/>
      <c r="T104" s="161"/>
      <c r="U104" s="161"/>
      <c r="V104" s="161"/>
      <c r="W104" s="161"/>
      <c r="X104" s="161"/>
      <c r="Y104" s="161"/>
      <c r="Z104" s="161"/>
      <c r="AA104" s="161"/>
      <c r="AB104" s="161"/>
      <c r="AC104" s="161"/>
      <c r="AD104" s="161"/>
      <c r="AE104" s="161"/>
      <c r="AF104" s="161"/>
      <c r="AG104" s="161"/>
      <c r="AH104" s="161"/>
      <c r="AI104" s="161"/>
      <c r="AJ104" s="161"/>
      <c r="AK104" s="161"/>
      <c r="AL104" s="161"/>
      <c r="AM104" s="161"/>
      <c r="AN104" s="161"/>
      <c r="AO104" s="161"/>
      <c r="AP104" s="161"/>
      <c r="AQ104" s="161"/>
      <c r="AR104" s="161"/>
      <c r="AS104" s="161"/>
      <c r="AT104" s="161"/>
      <c r="AU104" s="161"/>
      <c r="AV104" s="161"/>
      <c r="AW104" s="161"/>
      <c r="AX104" s="161"/>
      <c r="AY104" s="161"/>
      <c r="AZ104" s="161"/>
      <c r="BA104" s="161"/>
      <c r="BB104" s="161"/>
      <c r="BC104" s="161"/>
      <c r="BD104" s="161"/>
      <c r="BE104" s="161"/>
      <c r="BF104" s="161"/>
      <c r="BG104" s="161"/>
      <c r="BH104" s="161"/>
      <c r="BI104" s="161"/>
      <c r="BJ104" s="161"/>
      <c r="BK104" s="161"/>
      <c r="BL104" s="161"/>
      <c r="BM104" s="161"/>
      <c r="BN104" s="161"/>
      <c r="BO104" s="161"/>
      <c r="BP104" s="161"/>
      <c r="BQ104" s="161"/>
      <c r="BR104" s="161"/>
      <c r="BS104" s="161"/>
      <c r="BT104" s="161"/>
      <c r="BU104" s="161"/>
      <c r="BV104" s="161"/>
      <c r="BW104" s="161"/>
      <c r="BX104" s="664"/>
    </row>
    <row r="105" ht="30.75" customHeight="1">
      <c r="A105" s="379"/>
      <c r="B105" s="743"/>
      <c r="C105" s="744"/>
      <c r="D105" t="s" s="745">
        <v>309</v>
      </c>
      <c r="E105" s="746">
        <f>SUMIF($D$11:$E$30,D105,$L$11:$L$30)</f>
      </c>
      <c r="F105" s="746">
        <f>IF($I$31+$I$59+$I$86=0,0,SUMIF($D$39:$D$58,D105,$L$39:$N$58)+SUMIF($F$66:$G$85,D105,$L$66:$L$85)+SUMIF($D$11:$E$30,D105,$AE$11:$AE$30))</f>
        <v>0</v>
      </c>
      <c r="G105" s="746">
        <f>$F$105-$E$105</f>
      </c>
      <c r="H105" s="747"/>
      <c r="I105" s="620"/>
      <c r="J105" s="161"/>
      <c r="K105" s="161"/>
      <c r="L105" s="161"/>
      <c r="M105" s="161"/>
      <c r="N105" s="161"/>
      <c r="O105" s="161"/>
      <c r="P105" s="161"/>
      <c r="Q105" s="161"/>
      <c r="R105" s="219"/>
      <c r="S105" s="161"/>
      <c r="T105" s="161"/>
      <c r="U105" s="161"/>
      <c r="V105" s="161"/>
      <c r="W105" s="161"/>
      <c r="X105" s="161"/>
      <c r="Y105" s="161"/>
      <c r="Z105" s="161"/>
      <c r="AA105" s="161"/>
      <c r="AB105" s="161"/>
      <c r="AC105" s="161"/>
      <c r="AD105" s="161"/>
      <c r="AE105" s="161"/>
      <c r="AF105" s="161"/>
      <c r="AG105" s="161"/>
      <c r="AH105" s="161"/>
      <c r="AI105" s="161"/>
      <c r="AJ105" s="161"/>
      <c r="AK105" s="161"/>
      <c r="AL105" s="161"/>
      <c r="AM105" s="161"/>
      <c r="AN105" s="161"/>
      <c r="AO105" s="161"/>
      <c r="AP105" s="161"/>
      <c r="AQ105" s="161"/>
      <c r="AR105" s="161"/>
      <c r="AS105" s="161"/>
      <c r="AT105" s="161"/>
      <c r="AU105" s="161"/>
      <c r="AV105" s="161"/>
      <c r="AW105" s="161"/>
      <c r="AX105" s="161"/>
      <c r="AY105" s="161"/>
      <c r="AZ105" s="161"/>
      <c r="BA105" s="161"/>
      <c r="BB105" s="161"/>
      <c r="BC105" s="161"/>
      <c r="BD105" s="161"/>
      <c r="BE105" s="161"/>
      <c r="BF105" s="161"/>
      <c r="BG105" s="161"/>
      <c r="BH105" s="161"/>
      <c r="BI105" s="161"/>
      <c r="BJ105" s="161"/>
      <c r="BK105" s="161"/>
      <c r="BL105" s="161"/>
      <c r="BM105" s="161"/>
      <c r="BN105" s="161"/>
      <c r="BO105" s="161"/>
      <c r="BP105" s="161"/>
      <c r="BQ105" s="161"/>
      <c r="BR105" s="161"/>
      <c r="BS105" s="161"/>
      <c r="BT105" s="161"/>
      <c r="BU105" s="161"/>
      <c r="BV105" s="161"/>
      <c r="BW105" s="161"/>
      <c r="BX105" s="664"/>
    </row>
    <row r="106" ht="30.75" customHeight="1">
      <c r="A106" s="379"/>
      <c r="B106" s="743"/>
      <c r="C106" s="744"/>
      <c r="D106" t="s" s="745">
        <v>310</v>
      </c>
      <c r="E106" s="746">
        <f>SUMIF($D$11:$E$30,D106,$L$11:$L$30)</f>
      </c>
      <c r="F106" s="746">
        <f>IF($I$31+$I$59+$I$86=0,0,SUMIF($D$39:$D$58,D106,$L$39:$N$58)+SUMIF($F$66:$G$85,D106,$L$66:$L$85)+SUMIF($D$11:$E$30,D106,$AE$11:$AE$30))</f>
        <v>0</v>
      </c>
      <c r="G106" s="746">
        <f>$F$106-$E$106</f>
      </c>
      <c r="H106" s="747"/>
      <c r="I106" s="620"/>
      <c r="J106" s="161"/>
      <c r="K106" s="161"/>
      <c r="L106" s="161"/>
      <c r="M106" s="161"/>
      <c r="N106" s="161"/>
      <c r="O106" s="161"/>
      <c r="P106" s="161"/>
      <c r="Q106" s="161"/>
      <c r="R106" s="219"/>
      <c r="S106" s="161"/>
      <c r="T106" s="161"/>
      <c r="U106" s="161"/>
      <c r="V106" s="161"/>
      <c r="W106" s="161"/>
      <c r="X106" s="161"/>
      <c r="Y106" s="161"/>
      <c r="Z106" s="161"/>
      <c r="AA106" s="161"/>
      <c r="AB106" s="161"/>
      <c r="AC106" s="161"/>
      <c r="AD106" s="161"/>
      <c r="AE106" s="161"/>
      <c r="AF106" s="161"/>
      <c r="AG106" s="161"/>
      <c r="AH106" s="161"/>
      <c r="AI106" s="161"/>
      <c r="AJ106" s="161"/>
      <c r="AK106" s="161"/>
      <c r="AL106" s="161"/>
      <c r="AM106" s="161"/>
      <c r="AN106" s="161"/>
      <c r="AO106" s="161"/>
      <c r="AP106" s="161"/>
      <c r="AQ106" s="161"/>
      <c r="AR106" s="161"/>
      <c r="AS106" s="161"/>
      <c r="AT106" s="161"/>
      <c r="AU106" s="161"/>
      <c r="AV106" s="161"/>
      <c r="AW106" s="161"/>
      <c r="AX106" s="161"/>
      <c r="AY106" s="161"/>
      <c r="AZ106" s="161"/>
      <c r="BA106" s="161"/>
      <c r="BB106" s="161"/>
      <c r="BC106" s="161"/>
      <c r="BD106" s="161"/>
      <c r="BE106" s="161"/>
      <c r="BF106" s="161"/>
      <c r="BG106" s="161"/>
      <c r="BH106" s="161"/>
      <c r="BI106" s="161"/>
      <c r="BJ106" s="161"/>
      <c r="BK106" s="161"/>
      <c r="BL106" s="161"/>
      <c r="BM106" s="161"/>
      <c r="BN106" s="161"/>
      <c r="BO106" s="161"/>
      <c r="BP106" s="161"/>
      <c r="BQ106" s="161"/>
      <c r="BR106" s="161"/>
      <c r="BS106" s="161"/>
      <c r="BT106" s="161"/>
      <c r="BU106" s="161"/>
      <c r="BV106" s="161"/>
      <c r="BW106" s="161"/>
      <c r="BX106" s="664"/>
    </row>
    <row r="107" ht="30.75" customHeight="1">
      <c r="A107" s="379"/>
      <c r="B107" s="743"/>
      <c r="C107" s="744"/>
      <c r="D107" t="s" s="745">
        <v>311</v>
      </c>
      <c r="E107" s="746">
        <f>SUMIF($D$11:$E$30,D107,$L$11:$L$30)</f>
      </c>
      <c r="F107" s="746">
        <f>IF($I$31+$I$59+$I$86=0,0,SUMIF($D$39:$D$58,D107,$L$39:$N$58)+SUMIF($F$66:$G$85,D107,$L$66:$L$85)+SUMIF($D$11:$E$30,D107,$AE$11:$AE$30))</f>
        <v>0</v>
      </c>
      <c r="G107" s="746">
        <f>$F$107-$E$107</f>
      </c>
      <c r="H107" s="747"/>
      <c r="I107" s="627"/>
      <c r="J107" s="161"/>
      <c r="K107" s="161"/>
      <c r="L107" s="161"/>
      <c r="M107" s="161"/>
      <c r="N107" s="161"/>
      <c r="O107" s="161"/>
      <c r="P107" s="161"/>
      <c r="Q107" s="161"/>
      <c r="R107" s="219"/>
      <c r="S107" s="161"/>
      <c r="T107" s="161"/>
      <c r="U107" s="161"/>
      <c r="V107" s="161"/>
      <c r="W107" s="161"/>
      <c r="X107" s="161"/>
      <c r="Y107" s="161"/>
      <c r="Z107" s="161"/>
      <c r="AA107" s="161"/>
      <c r="AB107" s="161"/>
      <c r="AC107" s="161"/>
      <c r="AD107" s="161"/>
      <c r="AE107" s="161"/>
      <c r="AF107" s="161"/>
      <c r="AG107" s="161"/>
      <c r="AH107" s="161"/>
      <c r="AI107" s="161"/>
      <c r="AJ107" s="161"/>
      <c r="AK107" s="161"/>
      <c r="AL107" s="161"/>
      <c r="AM107" s="161"/>
      <c r="AN107" s="161"/>
      <c r="AO107" s="161"/>
      <c r="AP107" s="161"/>
      <c r="AQ107" s="161"/>
      <c r="AR107" s="161"/>
      <c r="AS107" s="161"/>
      <c r="AT107" s="161"/>
      <c r="AU107" s="161"/>
      <c r="AV107" s="161"/>
      <c r="AW107" s="161"/>
      <c r="AX107" s="161"/>
      <c r="AY107" s="161"/>
      <c r="AZ107" s="161"/>
      <c r="BA107" s="161"/>
      <c r="BB107" s="161"/>
      <c r="BC107" s="161"/>
      <c r="BD107" s="161"/>
      <c r="BE107" s="161"/>
      <c r="BF107" s="161"/>
      <c r="BG107" s="161"/>
      <c r="BH107" s="161"/>
      <c r="BI107" s="161"/>
      <c r="BJ107" s="161"/>
      <c r="BK107" s="161"/>
      <c r="BL107" s="161"/>
      <c r="BM107" s="161"/>
      <c r="BN107" s="161"/>
      <c r="BO107" s="161"/>
      <c r="BP107" s="161"/>
      <c r="BQ107" s="161"/>
      <c r="BR107" s="161"/>
      <c r="BS107" s="161"/>
      <c r="BT107" s="161"/>
      <c r="BU107" s="161"/>
      <c r="BV107" s="161"/>
      <c r="BW107" s="161"/>
      <c r="BX107" s="664"/>
    </row>
    <row r="108" ht="30.75" customHeight="1">
      <c r="A108" s="379"/>
      <c r="B108" s="743"/>
      <c r="C108" s="748"/>
      <c r="D108" t="s" s="749">
        <v>312</v>
      </c>
      <c r="E108" s="750">
        <f>SUM($E$103:$E$107)</f>
      </c>
      <c r="F108" s="750">
        <f>SUM($F$103:$F$107)</f>
        <v>0</v>
      </c>
      <c r="G108" s="750">
        <f>SUM($G$103:$G$107)</f>
      </c>
      <c r="H108" s="751"/>
      <c r="I108" s="627">
        <f>IF($H$103="No ▲",1,0)</f>
      </c>
      <c r="J108" s="161"/>
      <c r="K108" s="161"/>
      <c r="L108" s="161"/>
      <c r="M108" s="161"/>
      <c r="N108" s="161"/>
      <c r="O108" s="161"/>
      <c r="P108" s="161"/>
      <c r="Q108" s="161"/>
      <c r="R108" s="219"/>
      <c r="S108" s="161"/>
      <c r="T108" s="161"/>
      <c r="U108" s="161"/>
      <c r="V108" s="161"/>
      <c r="W108" s="161"/>
      <c r="X108" s="161"/>
      <c r="Y108" s="161"/>
      <c r="Z108" s="161"/>
      <c r="AA108" s="161"/>
      <c r="AB108" s="161"/>
      <c r="AC108" s="161"/>
      <c r="AD108" s="161"/>
      <c r="AE108" s="161"/>
      <c r="AF108" s="161"/>
      <c r="AG108" s="161"/>
      <c r="AH108" s="161"/>
      <c r="AI108" s="161"/>
      <c r="AJ108" s="161"/>
      <c r="AK108" s="161"/>
      <c r="AL108" s="161"/>
      <c r="AM108" s="161"/>
      <c r="AN108" s="161"/>
      <c r="AO108" s="161"/>
      <c r="AP108" s="161"/>
      <c r="AQ108" s="161"/>
      <c r="AR108" s="161"/>
      <c r="AS108" s="161"/>
      <c r="AT108" s="161"/>
      <c r="AU108" s="161"/>
      <c r="AV108" s="161"/>
      <c r="AW108" s="161"/>
      <c r="AX108" s="161"/>
      <c r="AY108" s="161"/>
      <c r="AZ108" s="161"/>
      <c r="BA108" s="161"/>
      <c r="BB108" s="161"/>
      <c r="BC108" s="161"/>
      <c r="BD108" s="161"/>
      <c r="BE108" s="161"/>
      <c r="BF108" s="161"/>
      <c r="BG108" s="161"/>
      <c r="BH108" s="161"/>
      <c r="BI108" s="161"/>
      <c r="BJ108" s="161"/>
      <c r="BK108" s="161"/>
      <c r="BL108" s="161"/>
      <c r="BM108" s="161"/>
      <c r="BN108" s="161"/>
      <c r="BO108" s="161"/>
      <c r="BP108" s="161"/>
      <c r="BQ108" s="161"/>
      <c r="BR108" s="161"/>
      <c r="BS108" s="161"/>
      <c r="BT108" s="161"/>
      <c r="BU108" s="161"/>
      <c r="BV108" s="161"/>
      <c r="BW108" s="161"/>
      <c r="BX108" s="664"/>
    </row>
    <row r="109" ht="30.75" customHeight="1">
      <c r="A109" s="379"/>
      <c r="B109" s="743"/>
      <c r="C109" t="s" s="739">
        <v>181</v>
      </c>
      <c r="D109" t="s" s="740">
        <v>313</v>
      </c>
      <c r="E109" s="741">
        <f>SUMIF($D$11:$E$30,D109,$L$11:$L$30)</f>
      </c>
      <c r="F109" s="741">
        <f>IF($I$31+$I$59+$I$86=0,0,SUMIF($D$39:$D$58,D109,$L$39:$N$58)+SUMIF($F$66:$G$85,D109,$L$66:$L$85)+SUMIF($D$11:$E$30,D109,$AE$11:$AE$30))</f>
        <v>0</v>
      </c>
      <c r="G109" s="741">
        <f>$F$109-$E$109</f>
      </c>
      <c r="H109" s="742">
        <f>IF(G112&gt;=0,"Yes ✓",IF(E114&gt;=0,"Yes ✓","No ▲"))</f>
      </c>
      <c r="I109" s="627"/>
      <c r="J109" s="161"/>
      <c r="K109" s="161"/>
      <c r="L109" s="161"/>
      <c r="M109" s="161"/>
      <c r="N109" s="161"/>
      <c r="O109" s="161"/>
      <c r="P109" s="161"/>
      <c r="Q109" s="161"/>
      <c r="R109" s="219"/>
      <c r="S109" s="161"/>
      <c r="T109" s="161"/>
      <c r="U109" s="161"/>
      <c r="V109" s="161"/>
      <c r="W109" s="161"/>
      <c r="X109" s="161"/>
      <c r="Y109" s="161"/>
      <c r="Z109" s="161"/>
      <c r="AA109" s="161"/>
      <c r="AB109" s="161"/>
      <c r="AC109" s="161"/>
      <c r="AD109" s="161"/>
      <c r="AE109" s="161"/>
      <c r="AF109" s="161"/>
      <c r="AG109" s="161"/>
      <c r="AH109" s="161"/>
      <c r="AI109" s="161"/>
      <c r="AJ109" s="161"/>
      <c r="AK109" s="161"/>
      <c r="AL109" s="161"/>
      <c r="AM109" s="161"/>
      <c r="AN109" s="161"/>
      <c r="AO109" s="161"/>
      <c r="AP109" s="161"/>
      <c r="AQ109" s="161"/>
      <c r="AR109" s="161"/>
      <c r="AS109" s="161"/>
      <c r="AT109" s="161"/>
      <c r="AU109" s="161"/>
      <c r="AV109" s="161"/>
      <c r="AW109" s="161"/>
      <c r="AX109" s="161"/>
      <c r="AY109" s="161"/>
      <c r="AZ109" s="161"/>
      <c r="BA109" s="161"/>
      <c r="BB109" s="161"/>
      <c r="BC109" s="161"/>
      <c r="BD109" s="161"/>
      <c r="BE109" s="161"/>
      <c r="BF109" s="161"/>
      <c r="BG109" s="161"/>
      <c r="BH109" s="161"/>
      <c r="BI109" s="161"/>
      <c r="BJ109" s="161"/>
      <c r="BK109" s="161"/>
      <c r="BL109" s="161"/>
      <c r="BM109" s="161"/>
      <c r="BN109" s="161"/>
      <c r="BO109" s="161"/>
      <c r="BP109" s="161"/>
      <c r="BQ109" s="161"/>
      <c r="BR109" s="161"/>
      <c r="BS109" s="161"/>
      <c r="BT109" s="161"/>
      <c r="BU109" s="161"/>
      <c r="BV109" s="161"/>
      <c r="BW109" s="161"/>
      <c r="BX109" s="664"/>
    </row>
    <row r="110" ht="30.75" customHeight="1">
      <c r="A110" s="379"/>
      <c r="B110" s="743"/>
      <c r="C110" s="744"/>
      <c r="D110" t="s" s="745">
        <v>314</v>
      </c>
      <c r="E110" s="746">
        <f>SUMIF($D$11:$E$30,D110,$L$11:$L$30)</f>
      </c>
      <c r="F110" s="746">
        <f>IF($I$31+$I$59+$I$86=0,0,SUMIF($D$39:$D$58,D110,$L$39:$N$58)+SUMIF($F$66:$G$85,D110,$L$66:$L$85)+SUMIF($D$11:$E$30,D110,$AE$11:$AE$30))</f>
        <v>0</v>
      </c>
      <c r="G110" s="746">
        <f>$F$110-$E$110</f>
      </c>
      <c r="H110" s="747"/>
      <c r="I110" s="627"/>
      <c r="J110" s="161"/>
      <c r="K110" s="161"/>
      <c r="L110" s="161"/>
      <c r="M110" s="161"/>
      <c r="N110" s="161"/>
      <c r="O110" s="161"/>
      <c r="P110" s="161"/>
      <c r="Q110" s="161"/>
      <c r="R110" s="219"/>
      <c r="S110" s="161"/>
      <c r="T110" s="161"/>
      <c r="U110" s="161"/>
      <c r="V110" s="161"/>
      <c r="W110" s="161"/>
      <c r="X110" s="161"/>
      <c r="Y110" s="161"/>
      <c r="Z110" s="161"/>
      <c r="AA110" s="161"/>
      <c r="AB110" s="161"/>
      <c r="AC110" s="161"/>
      <c r="AD110" s="161"/>
      <c r="AE110" s="161"/>
      <c r="AF110" s="161"/>
      <c r="AG110" s="161"/>
      <c r="AH110" s="161"/>
      <c r="AI110" s="161"/>
      <c r="AJ110" s="161"/>
      <c r="AK110" s="161"/>
      <c r="AL110" s="161"/>
      <c r="AM110" s="161"/>
      <c r="AN110" s="161"/>
      <c r="AO110" s="161"/>
      <c r="AP110" s="161"/>
      <c r="AQ110" s="161"/>
      <c r="AR110" s="161"/>
      <c r="AS110" s="161"/>
      <c r="AT110" s="161"/>
      <c r="AU110" s="161"/>
      <c r="AV110" s="161"/>
      <c r="AW110" s="161"/>
      <c r="AX110" s="161"/>
      <c r="AY110" s="161"/>
      <c r="AZ110" s="161"/>
      <c r="BA110" s="161"/>
      <c r="BB110" s="161"/>
      <c r="BC110" s="161"/>
      <c r="BD110" s="161"/>
      <c r="BE110" s="161"/>
      <c r="BF110" s="161"/>
      <c r="BG110" s="161"/>
      <c r="BH110" s="161"/>
      <c r="BI110" s="161"/>
      <c r="BJ110" s="161"/>
      <c r="BK110" s="161"/>
      <c r="BL110" s="161"/>
      <c r="BM110" s="161"/>
      <c r="BN110" s="161"/>
      <c r="BO110" s="161"/>
      <c r="BP110" s="161"/>
      <c r="BQ110" s="161"/>
      <c r="BR110" s="161"/>
      <c r="BS110" s="161"/>
      <c r="BT110" s="161"/>
      <c r="BU110" s="161"/>
      <c r="BV110" s="161"/>
      <c r="BW110" s="161"/>
      <c r="BX110" s="664"/>
    </row>
    <row r="111" ht="30.75" customHeight="1">
      <c r="A111" s="379"/>
      <c r="B111" s="743"/>
      <c r="C111" s="744"/>
      <c r="D111" t="s" s="745">
        <v>315</v>
      </c>
      <c r="E111" s="746">
        <f>SUMIF($D$11:$E$30,D111,$L$11:$L$30)</f>
      </c>
      <c r="F111" s="746">
        <f>IF($I$31+$I$59+$I$86=0,0,SUMIF($D$39:$D$58,D111,$L$39:$N$58)+SUMIF($F$66:$G$85,D111,$L$66:$L$85)+SUMIF($D$11:$E$30,D111,$AE$11:$AE$30))</f>
        <v>0</v>
      </c>
      <c r="G111" s="746">
        <f>$F$111-$E$111</f>
      </c>
      <c r="H111" s="747"/>
      <c r="I111" s="627"/>
      <c r="J111" s="161"/>
      <c r="K111" s="161"/>
      <c r="L111" s="161"/>
      <c r="M111" s="161"/>
      <c r="N111" s="161"/>
      <c r="O111" s="161"/>
      <c r="P111" s="161"/>
      <c r="Q111" s="161"/>
      <c r="R111" s="219"/>
      <c r="S111" s="161"/>
      <c r="T111" s="161"/>
      <c r="U111" s="161"/>
      <c r="V111" s="161"/>
      <c r="W111" s="161"/>
      <c r="X111" s="161"/>
      <c r="Y111" s="161"/>
      <c r="Z111" s="161"/>
      <c r="AA111" s="161"/>
      <c r="AB111" s="161"/>
      <c r="AC111" s="161"/>
      <c r="AD111" s="161"/>
      <c r="AE111" s="161"/>
      <c r="AF111" s="161"/>
      <c r="AG111" s="161"/>
      <c r="AH111" s="161"/>
      <c r="AI111" s="161"/>
      <c r="AJ111" s="161"/>
      <c r="AK111" s="161"/>
      <c r="AL111" s="161"/>
      <c r="AM111" s="161"/>
      <c r="AN111" s="161"/>
      <c r="AO111" s="161"/>
      <c r="AP111" s="161"/>
      <c r="AQ111" s="161"/>
      <c r="AR111" s="161"/>
      <c r="AS111" s="161"/>
      <c r="AT111" s="161"/>
      <c r="AU111" s="161"/>
      <c r="AV111" s="161"/>
      <c r="AW111" s="161"/>
      <c r="AX111" s="161"/>
      <c r="AY111" s="161"/>
      <c r="AZ111" s="161"/>
      <c r="BA111" s="161"/>
      <c r="BB111" s="161"/>
      <c r="BC111" s="161"/>
      <c r="BD111" s="161"/>
      <c r="BE111" s="161"/>
      <c r="BF111" s="161"/>
      <c r="BG111" s="161"/>
      <c r="BH111" s="161"/>
      <c r="BI111" s="161"/>
      <c r="BJ111" s="161"/>
      <c r="BK111" s="161"/>
      <c r="BL111" s="161"/>
      <c r="BM111" s="161"/>
      <c r="BN111" s="161"/>
      <c r="BO111" s="161"/>
      <c r="BP111" s="161"/>
      <c r="BQ111" s="161"/>
      <c r="BR111" s="161"/>
      <c r="BS111" s="161"/>
      <c r="BT111" s="161"/>
      <c r="BU111" s="161"/>
      <c r="BV111" s="161"/>
      <c r="BW111" s="161"/>
      <c r="BX111" s="664"/>
    </row>
    <row r="112" ht="30.75" customHeight="1">
      <c r="A112" s="379"/>
      <c r="B112" s="743"/>
      <c r="C112" s="748"/>
      <c r="D112" t="s" s="749">
        <v>312</v>
      </c>
      <c r="E112" s="750">
        <f>SUM($E$109:$E$111)</f>
      </c>
      <c r="F112" s="750">
        <f>SUM($F$109:$F$111)</f>
        <v>0</v>
      </c>
      <c r="G112" s="750">
        <f>SUM($G$109:$G$111)</f>
      </c>
      <c r="H112" s="751"/>
      <c r="I112" s="627">
        <f>IF($H$109="No ▲",1,0)</f>
      </c>
      <c r="J112" s="161"/>
      <c r="K112" s="161"/>
      <c r="L112" s="161"/>
      <c r="M112" s="161"/>
      <c r="N112" s="161"/>
      <c r="O112" s="161"/>
      <c r="P112" s="161"/>
      <c r="Q112" s="161"/>
      <c r="R112" s="219"/>
      <c r="S112" s="161"/>
      <c r="T112" s="161"/>
      <c r="U112" s="161"/>
      <c r="V112" s="161"/>
      <c r="W112" s="161"/>
      <c r="X112" s="161"/>
      <c r="Y112" s="161"/>
      <c r="Z112" s="161"/>
      <c r="AA112" s="161"/>
      <c r="AB112" s="161"/>
      <c r="AC112" s="161"/>
      <c r="AD112" s="161"/>
      <c r="AE112" s="161"/>
      <c r="AF112" s="161"/>
      <c r="AG112" s="161"/>
      <c r="AH112" s="161"/>
      <c r="AI112" s="161"/>
      <c r="AJ112" s="161"/>
      <c r="AK112" s="161"/>
      <c r="AL112" s="161"/>
      <c r="AM112" s="161"/>
      <c r="AN112" s="161"/>
      <c r="AO112" s="161"/>
      <c r="AP112" s="161"/>
      <c r="AQ112" s="161"/>
      <c r="AR112" s="161"/>
      <c r="AS112" s="161"/>
      <c r="AT112" s="161"/>
      <c r="AU112" s="161"/>
      <c r="AV112" s="161"/>
      <c r="AW112" s="161"/>
      <c r="AX112" s="161"/>
      <c r="AY112" s="161"/>
      <c r="AZ112" s="161"/>
      <c r="BA112" s="161"/>
      <c r="BB112" s="161"/>
      <c r="BC112" s="161"/>
      <c r="BD112" s="161"/>
      <c r="BE112" s="161"/>
      <c r="BF112" s="161"/>
      <c r="BG112" s="161"/>
      <c r="BH112" s="161"/>
      <c r="BI112" s="161"/>
      <c r="BJ112" s="161"/>
      <c r="BK112" s="161"/>
      <c r="BL112" s="161"/>
      <c r="BM112" s="161"/>
      <c r="BN112" s="161"/>
      <c r="BO112" s="161"/>
      <c r="BP112" s="161"/>
      <c r="BQ112" s="161"/>
      <c r="BR112" s="161"/>
      <c r="BS112" s="161"/>
      <c r="BT112" s="161"/>
      <c r="BU112" s="161"/>
      <c r="BV112" s="161"/>
      <c r="BW112" s="161"/>
      <c r="BX112" s="664"/>
    </row>
    <row r="113" ht="30.75" customHeight="1">
      <c r="A113" s="379"/>
      <c r="B113" s="752"/>
      <c r="C113" t="s" s="753">
        <v>316</v>
      </c>
      <c r="D113" t="s" s="754">
        <v>317</v>
      </c>
      <c r="E113" s="755">
        <f>SUMIF($D$11:$E$30,D113,$L$11:$L$30)</f>
      </c>
      <c r="F113" s="755">
        <f>IF($I$31+$I$59+$I$86=0,0,SUMIF($D$39:$D$58,D113,$L$39:$N$58)+SUMIF($F$66:$G$85,D113,$L$66:$L$85)+SUMIF($D$11:$E$30,D113,$AE$11:$AE$30))</f>
        <v>0</v>
      </c>
      <c r="G113" s="755">
        <f>$F$113-$E$113</f>
      </c>
      <c r="H113" s="756">
        <f>IF(G113&gt;=0,"Yes✓",IF(F114&gt;=0,"Yes ✓","No ▲"))</f>
      </c>
      <c r="I113" s="627">
        <f>IF($H$113="No ▲",1,0)</f>
      </c>
      <c r="J113" s="161"/>
      <c r="K113" s="161"/>
      <c r="L113" s="161"/>
      <c r="M113" s="161"/>
      <c r="N113" s="161"/>
      <c r="O113" s="161"/>
      <c r="P113" s="161"/>
      <c r="Q113" s="161"/>
      <c r="R113" s="219"/>
      <c r="S113" s="161"/>
      <c r="T113" s="161"/>
      <c r="U113" s="161"/>
      <c r="V113" s="161"/>
      <c r="W113" s="161"/>
      <c r="X113" s="161"/>
      <c r="Y113" s="161"/>
      <c r="Z113" s="161"/>
      <c r="AA113" s="161"/>
      <c r="AB113" s="161"/>
      <c r="AC113" s="161"/>
      <c r="AD113" s="161"/>
      <c r="AE113" s="161"/>
      <c r="AF113" s="161"/>
      <c r="AG113" s="161"/>
      <c r="AH113" s="161"/>
      <c r="AI113" s="161"/>
      <c r="AJ113" s="161"/>
      <c r="AK113" s="161"/>
      <c r="AL113" s="161"/>
      <c r="AM113" s="161"/>
      <c r="AN113" s="161"/>
      <c r="AO113" s="161"/>
      <c r="AP113" s="161"/>
      <c r="AQ113" s="161"/>
      <c r="AR113" s="161"/>
      <c r="AS113" s="161"/>
      <c r="AT113" s="161"/>
      <c r="AU113" s="161"/>
      <c r="AV113" s="161"/>
      <c r="AW113" s="161"/>
      <c r="AX113" s="161"/>
      <c r="AY113" s="161"/>
      <c r="AZ113" s="161"/>
      <c r="BA113" s="161"/>
      <c r="BB113" s="161"/>
      <c r="BC113" s="161"/>
      <c r="BD113" s="161"/>
      <c r="BE113" s="161"/>
      <c r="BF113" s="161"/>
      <c r="BG113" s="161"/>
      <c r="BH113" s="161"/>
      <c r="BI113" s="161"/>
      <c r="BJ113" s="161"/>
      <c r="BK113" s="161"/>
      <c r="BL113" s="161"/>
      <c r="BM113" s="161"/>
      <c r="BN113" s="161"/>
      <c r="BO113" s="161"/>
      <c r="BP113" s="161"/>
      <c r="BQ113" s="161"/>
      <c r="BR113" s="161"/>
      <c r="BS113" s="161"/>
      <c r="BT113" s="161"/>
      <c r="BU113" s="161"/>
      <c r="BV113" s="161"/>
      <c r="BW113" s="161"/>
      <c r="BX113" s="664"/>
    </row>
    <row r="114" ht="15" customHeight="1">
      <c r="A114" s="347"/>
      <c r="B114" s="639"/>
      <c r="C114" s="639"/>
      <c r="D114" s="639"/>
      <c r="E114" s="757">
        <f>G108+G112</f>
      </c>
      <c r="F114" s="758">
        <f>IF(G108&lt;0,0,($G$108+$G$112+$G$113))</f>
      </c>
      <c r="G114" s="348"/>
      <c r="H114" s="348"/>
      <c r="I114" s="759"/>
      <c r="J114" s="161"/>
      <c r="K114" s="161"/>
      <c r="L114" s="161"/>
      <c r="M114" s="161"/>
      <c r="N114" s="161"/>
      <c r="O114" s="161"/>
      <c r="P114" s="161"/>
      <c r="Q114" s="161"/>
      <c r="R114" s="219"/>
      <c r="S114" s="161"/>
      <c r="T114" s="161"/>
      <c r="U114" s="161"/>
      <c r="V114" s="161"/>
      <c r="W114" s="161"/>
      <c r="X114" s="161"/>
      <c r="Y114" s="161"/>
      <c r="Z114" s="161"/>
      <c r="AA114" s="161"/>
      <c r="AB114" s="161"/>
      <c r="AC114" s="161"/>
      <c r="AD114" s="161"/>
      <c r="AE114" s="161"/>
      <c r="AF114" s="161"/>
      <c r="AG114" s="161"/>
      <c r="AH114" s="161"/>
      <c r="AI114" s="161"/>
      <c r="AJ114" s="161"/>
      <c r="AK114" s="161"/>
      <c r="AL114" s="161"/>
      <c r="AM114" s="161"/>
      <c r="AN114" s="161"/>
      <c r="AO114" s="161"/>
      <c r="AP114" s="161"/>
      <c r="AQ114" s="161"/>
      <c r="AR114" s="161"/>
      <c r="AS114" s="161"/>
      <c r="AT114" s="161"/>
      <c r="AU114" s="161"/>
      <c r="AV114" s="161"/>
      <c r="AW114" s="161"/>
      <c r="AX114" s="161"/>
      <c r="AY114" s="161"/>
      <c r="AZ114" s="161"/>
      <c r="BA114" s="161"/>
      <c r="BB114" s="161"/>
      <c r="BC114" s="161"/>
      <c r="BD114" s="161"/>
      <c r="BE114" s="161"/>
      <c r="BF114" s="161"/>
      <c r="BG114" s="161"/>
      <c r="BH114" s="161"/>
      <c r="BI114" s="161"/>
      <c r="BJ114" s="161"/>
      <c r="BK114" s="161"/>
      <c r="BL114" s="161"/>
      <c r="BM114" s="161"/>
      <c r="BN114" s="161"/>
      <c r="BO114" s="161"/>
      <c r="BP114" s="161"/>
      <c r="BQ114" s="161"/>
      <c r="BR114" s="161"/>
      <c r="BS114" s="161"/>
      <c r="BT114" s="161"/>
      <c r="BU114" s="161"/>
      <c r="BV114" s="161"/>
      <c r="BW114" s="161"/>
      <c r="BX114" s="664"/>
    </row>
    <row r="115" ht="24.75" customHeight="1">
      <c r="A115" s="379"/>
      <c r="B115" t="s" s="760">
        <v>318</v>
      </c>
      <c r="C115" s="761"/>
      <c r="D115" s="761"/>
      <c r="E115" s="761"/>
      <c r="F115" s="762">
        <f>$G$108</f>
      </c>
      <c r="G115" s="763">
        <f>IF($G$108&lt;=0,0,($G$108+$G$112))</f>
      </c>
      <c r="H115" s="161"/>
      <c r="I115" s="759"/>
      <c r="J115" s="161"/>
      <c r="K115" s="161"/>
      <c r="L115" s="161"/>
      <c r="M115" s="161"/>
      <c r="N115" s="161"/>
      <c r="O115" s="161"/>
      <c r="P115" s="161"/>
      <c r="Q115" s="161"/>
      <c r="R115" s="219"/>
      <c r="S115" s="161"/>
      <c r="T115" s="161"/>
      <c r="U115" s="161"/>
      <c r="V115" s="161"/>
      <c r="W115" s="161"/>
      <c r="X115" s="161"/>
      <c r="Y115" s="161"/>
      <c r="Z115" s="161"/>
      <c r="AA115" s="161"/>
      <c r="AB115" s="161"/>
      <c r="AC115" s="161"/>
      <c r="AD115" s="161"/>
      <c r="AE115" s="161"/>
      <c r="AF115" s="161"/>
      <c r="AG115" s="161"/>
      <c r="AH115" s="161"/>
      <c r="AI115" s="161"/>
      <c r="AJ115" s="161"/>
      <c r="AK115" s="161"/>
      <c r="AL115" s="161"/>
      <c r="AM115" s="161"/>
      <c r="AN115" s="161"/>
      <c r="AO115" s="161"/>
      <c r="AP115" s="161"/>
      <c r="AQ115" s="161"/>
      <c r="AR115" s="161"/>
      <c r="AS115" s="161"/>
      <c r="AT115" s="161"/>
      <c r="AU115" s="161"/>
      <c r="AV115" s="161"/>
      <c r="AW115" s="161"/>
      <c r="AX115" s="161"/>
      <c r="AY115" s="161"/>
      <c r="AZ115" s="161"/>
      <c r="BA115" s="161"/>
      <c r="BB115" s="161"/>
      <c r="BC115" s="161"/>
      <c r="BD115" s="161"/>
      <c r="BE115" s="161"/>
      <c r="BF115" s="161"/>
      <c r="BG115" s="161"/>
      <c r="BH115" s="161"/>
      <c r="BI115" s="161"/>
      <c r="BJ115" s="161"/>
      <c r="BK115" s="161"/>
      <c r="BL115" s="161"/>
      <c r="BM115" s="161"/>
      <c r="BN115" s="161"/>
      <c r="BO115" s="161"/>
      <c r="BP115" s="161"/>
      <c r="BQ115" s="161"/>
      <c r="BR115" s="161"/>
      <c r="BS115" s="161"/>
      <c r="BT115" s="161"/>
      <c r="BU115" s="161"/>
      <c r="BV115" s="161"/>
      <c r="BW115" s="161"/>
      <c r="BX115" s="664"/>
    </row>
    <row r="116" ht="21.75" customHeight="1">
      <c r="A116" s="379"/>
      <c r="B116" t="s" s="764">
        <v>319</v>
      </c>
      <c r="C116" s="765"/>
      <c r="D116" s="765"/>
      <c r="E116" s="765"/>
      <c r="F116" s="766">
        <f>IF($G$108&gt;0,($G$112+$G$108),$G$112)</f>
      </c>
      <c r="G116" s="763">
        <f>IF($G$108&lt;=0,0,($G$108+$G$112+$G$113))</f>
      </c>
      <c r="H116" s="161"/>
      <c r="I116" s="161"/>
      <c r="J116" s="161"/>
      <c r="K116" s="161"/>
      <c r="L116" s="161"/>
      <c r="M116" s="161"/>
      <c r="N116" s="161"/>
      <c r="O116" s="161"/>
      <c r="P116" s="161"/>
      <c r="Q116" s="161"/>
      <c r="R116" s="219"/>
      <c r="S116" s="161"/>
      <c r="T116" s="161"/>
      <c r="U116" s="161"/>
      <c r="V116" s="161"/>
      <c r="W116" s="161"/>
      <c r="X116" s="161"/>
      <c r="Y116" s="161"/>
      <c r="Z116" s="161"/>
      <c r="AA116" s="161"/>
      <c r="AB116" s="161"/>
      <c r="AC116" s="161"/>
      <c r="AD116" s="161"/>
      <c r="AE116" s="161"/>
      <c r="AF116" s="161"/>
      <c r="AG116" s="161"/>
      <c r="AH116" s="161"/>
      <c r="AI116" s="161"/>
      <c r="AJ116" s="161"/>
      <c r="AK116" s="161"/>
      <c r="AL116" s="161"/>
      <c r="AM116" s="161"/>
      <c r="AN116" s="161"/>
      <c r="AO116" s="161"/>
      <c r="AP116" s="161"/>
      <c r="AQ116" s="161"/>
      <c r="AR116" s="161"/>
      <c r="AS116" s="161"/>
      <c r="AT116" s="161"/>
      <c r="AU116" s="161"/>
      <c r="AV116" s="161"/>
      <c r="AW116" s="161"/>
      <c r="AX116" s="161"/>
      <c r="AY116" s="161"/>
      <c r="AZ116" s="161"/>
      <c r="BA116" s="161"/>
      <c r="BB116" s="161"/>
      <c r="BC116" s="161"/>
      <c r="BD116" s="161"/>
      <c r="BE116" s="161"/>
      <c r="BF116" s="161"/>
      <c r="BG116" s="161"/>
      <c r="BH116" s="161"/>
      <c r="BI116" s="161"/>
      <c r="BJ116" s="161"/>
      <c r="BK116" s="161"/>
      <c r="BL116" s="161"/>
      <c r="BM116" s="161"/>
      <c r="BN116" s="161"/>
      <c r="BO116" s="161"/>
      <c r="BP116" s="161"/>
      <c r="BQ116" s="161"/>
      <c r="BR116" s="161"/>
      <c r="BS116" s="161"/>
      <c r="BT116" s="161"/>
      <c r="BU116" s="161"/>
      <c r="BV116" s="161"/>
      <c r="BW116" s="161"/>
      <c r="BX116" s="664"/>
    </row>
    <row r="117" ht="24" customHeight="1">
      <c r="A117" s="379"/>
      <c r="B117" t="s" s="767">
        <v>320</v>
      </c>
      <c r="C117" s="768"/>
      <c r="D117" s="768"/>
      <c r="E117" s="768"/>
      <c r="F117" s="769">
        <f>IF($F$116&gt;0,($F$116+$G$113),$G$113)</f>
      </c>
      <c r="G117" s="763"/>
      <c r="H117" s="161"/>
      <c r="I117" s="161"/>
      <c r="J117" s="161"/>
      <c r="K117" s="161"/>
      <c r="L117" s="161"/>
      <c r="M117" s="161"/>
      <c r="N117" s="161"/>
      <c r="O117" s="161"/>
      <c r="P117" s="161"/>
      <c r="Q117" s="161"/>
      <c r="R117" s="219"/>
      <c r="S117" s="161"/>
      <c r="T117" s="161"/>
      <c r="U117" s="161"/>
      <c r="V117" s="161"/>
      <c r="W117" s="161"/>
      <c r="X117" s="161"/>
      <c r="Y117" s="161"/>
      <c r="Z117" s="161"/>
      <c r="AA117" s="161"/>
      <c r="AB117" s="161"/>
      <c r="AC117" s="161"/>
      <c r="AD117" s="161"/>
      <c r="AE117" s="161"/>
      <c r="AF117" s="161"/>
      <c r="AG117" s="161"/>
      <c r="AH117" s="161"/>
      <c r="AI117" s="161"/>
      <c r="AJ117" s="161"/>
      <c r="AK117" s="161"/>
      <c r="AL117" s="161"/>
      <c r="AM117" s="161"/>
      <c r="AN117" s="161"/>
      <c r="AO117" s="161"/>
      <c r="AP117" s="161"/>
      <c r="AQ117" s="161"/>
      <c r="AR117" s="161"/>
      <c r="AS117" s="161"/>
      <c r="AT117" s="161"/>
      <c r="AU117" s="161"/>
      <c r="AV117" s="161"/>
      <c r="AW117" s="161"/>
      <c r="AX117" s="161"/>
      <c r="AY117" s="161"/>
      <c r="AZ117" s="161"/>
      <c r="BA117" s="161"/>
      <c r="BB117" s="161"/>
      <c r="BC117" s="161"/>
      <c r="BD117" s="161"/>
      <c r="BE117" s="161"/>
      <c r="BF117" s="161"/>
      <c r="BG117" s="161"/>
      <c r="BH117" s="161"/>
      <c r="BI117" s="161"/>
      <c r="BJ117" s="161"/>
      <c r="BK117" s="161"/>
      <c r="BL117" s="161"/>
      <c r="BM117" s="161"/>
      <c r="BN117" s="161"/>
      <c r="BO117" s="161"/>
      <c r="BP117" s="161"/>
      <c r="BQ117" s="161"/>
      <c r="BR117" s="161"/>
      <c r="BS117" s="161"/>
      <c r="BT117" s="161"/>
      <c r="BU117" s="161"/>
      <c r="BV117" s="161"/>
      <c r="BW117" s="161"/>
      <c r="BX117" s="664"/>
    </row>
    <row r="118" ht="14.05" customHeight="1">
      <c r="A118" s="347"/>
      <c r="B118" s="348"/>
      <c r="C118" s="348"/>
      <c r="D118" s="348"/>
      <c r="E118" s="348"/>
      <c r="F118" s="348"/>
      <c r="G118" s="770"/>
      <c r="H118" s="161"/>
      <c r="I118" s="161"/>
      <c r="J118" s="161"/>
      <c r="K118" s="161"/>
      <c r="L118" s="161"/>
      <c r="M118" s="161"/>
      <c r="N118" s="161"/>
      <c r="O118" s="161"/>
      <c r="P118" s="161"/>
      <c r="Q118" s="161"/>
      <c r="R118" s="219"/>
      <c r="S118" s="161"/>
      <c r="T118" s="161"/>
      <c r="U118" s="161"/>
      <c r="V118" s="161"/>
      <c r="W118" s="161"/>
      <c r="X118" s="161"/>
      <c r="Y118" s="161"/>
      <c r="Z118" s="161"/>
      <c r="AA118" s="161"/>
      <c r="AB118" s="161"/>
      <c r="AC118" s="161"/>
      <c r="AD118" s="161"/>
      <c r="AE118" s="161"/>
      <c r="AF118" s="161"/>
      <c r="AG118" s="161"/>
      <c r="AH118" s="161"/>
      <c r="AI118" s="161"/>
      <c r="AJ118" s="161"/>
      <c r="AK118" s="161"/>
      <c r="AL118" s="161"/>
      <c r="AM118" s="161"/>
      <c r="AN118" s="161"/>
      <c r="AO118" s="161"/>
      <c r="AP118" s="161"/>
      <c r="AQ118" s="161"/>
      <c r="AR118" s="161"/>
      <c r="AS118" s="161"/>
      <c r="AT118" s="161"/>
      <c r="AU118" s="161"/>
      <c r="AV118" s="161"/>
      <c r="AW118" s="161"/>
      <c r="AX118" s="161"/>
      <c r="AY118" s="161"/>
      <c r="AZ118" s="161"/>
      <c r="BA118" s="161"/>
      <c r="BB118" s="161"/>
      <c r="BC118" s="161"/>
      <c r="BD118" s="161"/>
      <c r="BE118" s="161"/>
      <c r="BF118" s="161"/>
      <c r="BG118" s="161"/>
      <c r="BH118" s="161"/>
      <c r="BI118" s="161"/>
      <c r="BJ118" s="161"/>
      <c r="BK118" s="161"/>
      <c r="BL118" s="161"/>
      <c r="BM118" s="161"/>
      <c r="BN118" s="161"/>
      <c r="BO118" s="161"/>
      <c r="BP118" s="161"/>
      <c r="BQ118" s="161"/>
      <c r="BR118" s="161"/>
      <c r="BS118" s="161"/>
      <c r="BT118" s="161"/>
      <c r="BU118" s="161"/>
      <c r="BV118" s="161"/>
      <c r="BW118" s="161"/>
      <c r="BX118" s="664"/>
    </row>
    <row r="119" ht="13.55" customHeight="1">
      <c r="A119" s="347"/>
      <c r="B119" s="161"/>
      <c r="C119" s="161"/>
      <c r="D119" s="161"/>
      <c r="E119" s="161"/>
      <c r="F119" s="161"/>
      <c r="G119" s="161"/>
      <c r="H119" s="161"/>
      <c r="I119" s="161"/>
      <c r="J119" s="161"/>
      <c r="K119" s="161"/>
      <c r="L119" s="161"/>
      <c r="M119" s="161"/>
      <c r="N119" s="161"/>
      <c r="O119" s="161"/>
      <c r="P119" s="161"/>
      <c r="Q119" s="161"/>
      <c r="R119" s="219"/>
      <c r="S119" s="161"/>
      <c r="T119" s="161"/>
      <c r="U119" s="161"/>
      <c r="V119" s="161"/>
      <c r="W119" s="161"/>
      <c r="X119" s="161"/>
      <c r="Y119" s="161"/>
      <c r="Z119" s="161"/>
      <c r="AA119" s="161"/>
      <c r="AB119" s="161"/>
      <c r="AC119" s="161"/>
      <c r="AD119" s="161"/>
      <c r="AE119" s="161"/>
      <c r="AF119" s="161"/>
      <c r="AG119" s="161"/>
      <c r="AH119" s="161"/>
      <c r="AI119" s="161"/>
      <c r="AJ119" s="161"/>
      <c r="AK119" s="161"/>
      <c r="AL119" s="161"/>
      <c r="AM119" s="161"/>
      <c r="AN119" s="161"/>
      <c r="AO119" s="161"/>
      <c r="AP119" s="161"/>
      <c r="AQ119" s="161"/>
      <c r="AR119" s="161"/>
      <c r="AS119" s="161"/>
      <c r="AT119" s="161"/>
      <c r="AU119" s="161"/>
      <c r="AV119" s="161"/>
      <c r="AW119" s="161"/>
      <c r="AX119" s="161"/>
      <c r="AY119" s="161"/>
      <c r="AZ119" s="161"/>
      <c r="BA119" s="161"/>
      <c r="BB119" s="161"/>
      <c r="BC119" s="161"/>
      <c r="BD119" s="161"/>
      <c r="BE119" s="161"/>
      <c r="BF119" s="161"/>
      <c r="BG119" s="161"/>
      <c r="BH119" s="161"/>
      <c r="BI119" s="161"/>
      <c r="BJ119" s="161"/>
      <c r="BK119" s="161"/>
      <c r="BL119" s="161"/>
      <c r="BM119" s="161"/>
      <c r="BN119" s="161"/>
      <c r="BO119" s="161"/>
      <c r="BP119" s="161"/>
      <c r="BQ119" s="161"/>
      <c r="BR119" s="161"/>
      <c r="BS119" s="161"/>
      <c r="BT119" s="161"/>
      <c r="BU119" s="161"/>
      <c r="BV119" s="161"/>
      <c r="BW119" s="161"/>
      <c r="BX119" s="664"/>
    </row>
    <row r="120" ht="13.55" customHeight="1">
      <c r="A120" s="347"/>
      <c r="B120" s="161"/>
      <c r="C120" s="161"/>
      <c r="D120" s="161"/>
      <c r="E120" s="161"/>
      <c r="F120" s="161"/>
      <c r="G120" s="161"/>
      <c r="H120" s="161"/>
      <c r="I120" s="161"/>
      <c r="J120" s="161"/>
      <c r="K120" s="161"/>
      <c r="L120" s="161"/>
      <c r="M120" s="161"/>
      <c r="N120" s="161"/>
      <c r="O120" s="161"/>
      <c r="P120" s="161"/>
      <c r="Q120" s="161"/>
      <c r="R120" s="219"/>
      <c r="S120" s="161"/>
      <c r="T120" s="161"/>
      <c r="U120" s="161"/>
      <c r="V120" s="161"/>
      <c r="W120" s="161"/>
      <c r="X120" s="161"/>
      <c r="Y120" s="161"/>
      <c r="Z120" s="161"/>
      <c r="AA120" s="161"/>
      <c r="AB120" s="161"/>
      <c r="AC120" s="161"/>
      <c r="AD120" s="161"/>
      <c r="AE120" s="161"/>
      <c r="AF120" s="161"/>
      <c r="AG120" s="161"/>
      <c r="AH120" s="161"/>
      <c r="AI120" s="161"/>
      <c r="AJ120" s="161"/>
      <c r="AK120" s="161"/>
      <c r="AL120" s="161"/>
      <c r="AM120" s="161"/>
      <c r="AN120" s="161"/>
      <c r="AO120" s="161"/>
      <c r="AP120" s="161"/>
      <c r="AQ120" s="161"/>
      <c r="AR120" s="161"/>
      <c r="AS120" s="161"/>
      <c r="AT120" s="161"/>
      <c r="AU120" s="161"/>
      <c r="AV120" s="161"/>
      <c r="AW120" s="161"/>
      <c r="AX120" s="161"/>
      <c r="AY120" s="161"/>
      <c r="AZ120" s="161"/>
      <c r="BA120" s="161"/>
      <c r="BB120" s="161"/>
      <c r="BC120" s="161"/>
      <c r="BD120" s="161"/>
      <c r="BE120" s="161"/>
      <c r="BF120" s="161"/>
      <c r="BG120" s="161"/>
      <c r="BH120" s="161"/>
      <c r="BI120" s="161"/>
      <c r="BJ120" s="161"/>
      <c r="BK120" s="161"/>
      <c r="BL120" s="161"/>
      <c r="BM120" s="161"/>
      <c r="BN120" s="161"/>
      <c r="BO120" s="161"/>
      <c r="BP120" s="161"/>
      <c r="BQ120" s="161"/>
      <c r="BR120" s="161"/>
      <c r="BS120" s="161"/>
      <c r="BT120" s="161"/>
      <c r="BU120" s="161"/>
      <c r="BV120" s="161"/>
      <c r="BW120" s="161"/>
      <c r="BX120" s="664"/>
    </row>
    <row r="121" ht="13.55" customHeight="1">
      <c r="A121" s="347"/>
      <c r="B121" s="161"/>
      <c r="C121" s="161"/>
      <c r="D121" s="161"/>
      <c r="E121" s="161"/>
      <c r="F121" s="161"/>
      <c r="G121" s="161"/>
      <c r="H121" s="161"/>
      <c r="I121" s="161"/>
      <c r="J121" s="161"/>
      <c r="K121" s="161"/>
      <c r="L121" s="161"/>
      <c r="M121" s="161"/>
      <c r="N121" s="161"/>
      <c r="O121" s="161"/>
      <c r="P121" s="161"/>
      <c r="Q121" s="161"/>
      <c r="R121" s="219"/>
      <c r="S121" s="161"/>
      <c r="T121" s="161"/>
      <c r="U121" s="161"/>
      <c r="V121" s="161"/>
      <c r="W121" s="161"/>
      <c r="X121" s="161"/>
      <c r="Y121" s="161"/>
      <c r="Z121" s="161"/>
      <c r="AA121" s="161"/>
      <c r="AB121" s="161"/>
      <c r="AC121" s="161"/>
      <c r="AD121" s="161"/>
      <c r="AE121" s="161"/>
      <c r="AF121" s="161"/>
      <c r="AG121" s="161"/>
      <c r="AH121" s="161"/>
      <c r="AI121" s="161"/>
      <c r="AJ121" s="161"/>
      <c r="AK121" s="161"/>
      <c r="AL121" s="161"/>
      <c r="AM121" s="161"/>
      <c r="AN121" s="161"/>
      <c r="AO121" s="161"/>
      <c r="AP121" s="161"/>
      <c r="AQ121" s="161"/>
      <c r="AR121" s="161"/>
      <c r="AS121" s="161"/>
      <c r="AT121" s="161"/>
      <c r="AU121" s="161"/>
      <c r="AV121" s="161"/>
      <c r="AW121" s="161"/>
      <c r="AX121" s="161"/>
      <c r="AY121" s="161"/>
      <c r="AZ121" s="161"/>
      <c r="BA121" s="161"/>
      <c r="BB121" s="161"/>
      <c r="BC121" s="161"/>
      <c r="BD121" s="161"/>
      <c r="BE121" s="161"/>
      <c r="BF121" s="161"/>
      <c r="BG121" s="161"/>
      <c r="BH121" s="161"/>
      <c r="BI121" s="161"/>
      <c r="BJ121" s="161"/>
      <c r="BK121" s="161"/>
      <c r="BL121" s="161"/>
      <c r="BM121" s="161"/>
      <c r="BN121" s="161"/>
      <c r="BO121" s="161"/>
      <c r="BP121" s="161"/>
      <c r="BQ121" s="161"/>
      <c r="BR121" s="161"/>
      <c r="BS121" s="161"/>
      <c r="BT121" s="161"/>
      <c r="BU121" s="161"/>
      <c r="BV121" s="161"/>
      <c r="BW121" s="161"/>
      <c r="BX121" s="664"/>
    </row>
    <row r="122" ht="13.55" customHeight="1">
      <c r="A122" s="347"/>
      <c r="B122" s="161"/>
      <c r="C122" s="161"/>
      <c r="D122" s="161"/>
      <c r="E122" s="161"/>
      <c r="F122" s="161"/>
      <c r="G122" s="161"/>
      <c r="H122" s="161"/>
      <c r="I122" s="161"/>
      <c r="J122" s="161"/>
      <c r="K122" s="161"/>
      <c r="L122" s="161"/>
      <c r="M122" s="161"/>
      <c r="N122" s="161"/>
      <c r="O122" s="161"/>
      <c r="P122" s="161"/>
      <c r="Q122" s="161"/>
      <c r="R122" s="219"/>
      <c r="S122" s="161"/>
      <c r="T122" s="161"/>
      <c r="U122" s="161"/>
      <c r="V122" s="161"/>
      <c r="W122" s="161"/>
      <c r="X122" s="161"/>
      <c r="Y122" s="161"/>
      <c r="Z122" s="161"/>
      <c r="AA122" s="161"/>
      <c r="AB122" s="161"/>
      <c r="AC122" s="161"/>
      <c r="AD122" s="161"/>
      <c r="AE122" s="161"/>
      <c r="AF122" s="161"/>
      <c r="AG122" s="161"/>
      <c r="AH122" s="161"/>
      <c r="AI122" s="161"/>
      <c r="AJ122" s="161"/>
      <c r="AK122" s="161"/>
      <c r="AL122" s="161"/>
      <c r="AM122" s="161"/>
      <c r="AN122" s="161"/>
      <c r="AO122" s="161"/>
      <c r="AP122" s="161"/>
      <c r="AQ122" s="161"/>
      <c r="AR122" s="161"/>
      <c r="AS122" s="161"/>
      <c r="AT122" s="161"/>
      <c r="AU122" s="161"/>
      <c r="AV122" s="161"/>
      <c r="AW122" s="161"/>
      <c r="AX122" s="161"/>
      <c r="AY122" s="161"/>
      <c r="AZ122" s="161"/>
      <c r="BA122" s="161"/>
      <c r="BB122" s="161"/>
      <c r="BC122" s="161"/>
      <c r="BD122" s="161"/>
      <c r="BE122" s="161"/>
      <c r="BF122" s="161"/>
      <c r="BG122" s="161"/>
      <c r="BH122" s="161"/>
      <c r="BI122" s="161"/>
      <c r="BJ122" s="161"/>
      <c r="BK122" s="161"/>
      <c r="BL122" s="161"/>
      <c r="BM122" s="161"/>
      <c r="BN122" s="161"/>
      <c r="BO122" s="161"/>
      <c r="BP122" s="161"/>
      <c r="BQ122" s="161"/>
      <c r="BR122" s="161"/>
      <c r="BS122" s="161"/>
      <c r="BT122" s="161"/>
      <c r="BU122" s="161"/>
      <c r="BV122" s="161"/>
      <c r="BW122" s="161"/>
      <c r="BX122" s="664"/>
    </row>
    <row r="123" ht="13.55" customHeight="1">
      <c r="A123" s="347"/>
      <c r="B123" s="161"/>
      <c r="C123" s="161"/>
      <c r="D123" s="161"/>
      <c r="E123" s="161"/>
      <c r="F123" s="161"/>
      <c r="G123" s="161"/>
      <c r="H123" s="161"/>
      <c r="I123" s="161"/>
      <c r="J123" s="161"/>
      <c r="K123" s="161"/>
      <c r="L123" s="161"/>
      <c r="M123" s="161"/>
      <c r="N123" s="161"/>
      <c r="O123" s="161"/>
      <c r="P123" s="161"/>
      <c r="Q123" s="161"/>
      <c r="R123" s="219"/>
      <c r="S123" s="161"/>
      <c r="T123" s="161"/>
      <c r="U123" s="161"/>
      <c r="V123" s="161"/>
      <c r="W123" s="161"/>
      <c r="X123" s="161"/>
      <c r="Y123" s="161"/>
      <c r="Z123" s="161"/>
      <c r="AA123" s="161"/>
      <c r="AB123" s="161"/>
      <c r="AC123" s="161"/>
      <c r="AD123" s="161"/>
      <c r="AE123" s="161"/>
      <c r="AF123" s="161"/>
      <c r="AG123" s="161"/>
      <c r="AH123" s="161"/>
      <c r="AI123" s="161"/>
      <c r="AJ123" s="161"/>
      <c r="AK123" s="161"/>
      <c r="AL123" s="161"/>
      <c r="AM123" s="161"/>
      <c r="AN123" s="161"/>
      <c r="AO123" s="161"/>
      <c r="AP123" s="161"/>
      <c r="AQ123" s="161"/>
      <c r="AR123" s="161"/>
      <c r="AS123" s="161"/>
      <c r="AT123" s="161"/>
      <c r="AU123" s="161"/>
      <c r="AV123" s="161"/>
      <c r="AW123" s="161"/>
      <c r="AX123" s="161"/>
      <c r="AY123" s="161"/>
      <c r="AZ123" s="161"/>
      <c r="BA123" s="161"/>
      <c r="BB123" s="161"/>
      <c r="BC123" s="161"/>
      <c r="BD123" s="161"/>
      <c r="BE123" s="161"/>
      <c r="BF123" s="161"/>
      <c r="BG123" s="161"/>
      <c r="BH123" s="161"/>
      <c r="BI123" s="161"/>
      <c r="BJ123" s="161"/>
      <c r="BK123" s="161"/>
      <c r="BL123" s="161"/>
      <c r="BM123" s="161"/>
      <c r="BN123" s="161"/>
      <c r="BO123" s="161"/>
      <c r="BP123" s="161"/>
      <c r="BQ123" s="161"/>
      <c r="BR123" s="161"/>
      <c r="BS123" s="161"/>
      <c r="BT123" s="161"/>
      <c r="BU123" s="161"/>
      <c r="BV123" s="161"/>
      <c r="BW123" s="161"/>
      <c r="BX123" s="664"/>
    </row>
    <row r="124" ht="13.55" customHeight="1">
      <c r="A124" s="347"/>
      <c r="B124" s="161"/>
      <c r="C124" s="161"/>
      <c r="D124" s="161"/>
      <c r="E124" s="161"/>
      <c r="F124" s="161"/>
      <c r="G124" s="161"/>
      <c r="H124" s="161"/>
      <c r="I124" s="161"/>
      <c r="J124" s="161"/>
      <c r="K124" s="161"/>
      <c r="L124" s="161"/>
      <c r="M124" s="161"/>
      <c r="N124" s="161"/>
      <c r="O124" s="161"/>
      <c r="P124" s="161"/>
      <c r="Q124" s="161"/>
      <c r="R124" s="219"/>
      <c r="S124" s="161"/>
      <c r="T124" s="161"/>
      <c r="U124" s="161"/>
      <c r="V124" s="161"/>
      <c r="W124" s="161"/>
      <c r="X124" s="161"/>
      <c r="Y124" s="161"/>
      <c r="Z124" s="161"/>
      <c r="AA124" s="161"/>
      <c r="AB124" s="161"/>
      <c r="AC124" s="161"/>
      <c r="AD124" s="161"/>
      <c r="AE124" s="161"/>
      <c r="AF124" s="161"/>
      <c r="AG124" s="161"/>
      <c r="AH124" s="161"/>
      <c r="AI124" s="161"/>
      <c r="AJ124" s="161"/>
      <c r="AK124" s="161"/>
      <c r="AL124" s="161"/>
      <c r="AM124" s="161"/>
      <c r="AN124" s="161"/>
      <c r="AO124" s="161"/>
      <c r="AP124" s="161"/>
      <c r="AQ124" s="161"/>
      <c r="AR124" s="161"/>
      <c r="AS124" s="161"/>
      <c r="AT124" s="161"/>
      <c r="AU124" s="161"/>
      <c r="AV124" s="161"/>
      <c r="AW124" s="161"/>
      <c r="AX124" s="161"/>
      <c r="AY124" s="161"/>
      <c r="AZ124" s="161"/>
      <c r="BA124" s="161"/>
      <c r="BB124" s="161"/>
      <c r="BC124" s="161"/>
      <c r="BD124" s="161"/>
      <c r="BE124" s="161"/>
      <c r="BF124" s="161"/>
      <c r="BG124" s="161"/>
      <c r="BH124" s="161"/>
      <c r="BI124" s="161"/>
      <c r="BJ124" s="161"/>
      <c r="BK124" s="161"/>
      <c r="BL124" s="161"/>
      <c r="BM124" s="161"/>
      <c r="BN124" s="161"/>
      <c r="BO124" s="161"/>
      <c r="BP124" s="161"/>
      <c r="BQ124" s="161"/>
      <c r="BR124" s="161"/>
      <c r="BS124" s="161"/>
      <c r="BT124" s="161"/>
      <c r="BU124" s="161"/>
      <c r="BV124" s="161"/>
      <c r="BW124" s="161"/>
      <c r="BX124" s="664"/>
    </row>
    <row r="125" ht="13.55" customHeight="1">
      <c r="A125" s="347"/>
      <c r="B125" s="161"/>
      <c r="C125" s="161"/>
      <c r="D125" s="161"/>
      <c r="E125" s="161"/>
      <c r="F125" s="161"/>
      <c r="G125" s="161"/>
      <c r="H125" s="161"/>
      <c r="I125" s="161"/>
      <c r="J125" s="161"/>
      <c r="K125" s="161"/>
      <c r="L125" s="161"/>
      <c r="M125" s="161"/>
      <c r="N125" s="161"/>
      <c r="O125" s="161"/>
      <c r="P125" s="161"/>
      <c r="Q125" s="161"/>
      <c r="R125" s="219"/>
      <c r="S125" s="161"/>
      <c r="T125" s="161"/>
      <c r="U125" s="161"/>
      <c r="V125" s="161"/>
      <c r="W125" s="161"/>
      <c r="X125" s="161"/>
      <c r="Y125" s="161"/>
      <c r="Z125" s="161"/>
      <c r="AA125" s="161"/>
      <c r="AB125" s="161"/>
      <c r="AC125" s="161"/>
      <c r="AD125" s="161"/>
      <c r="AE125" s="161"/>
      <c r="AF125" s="161"/>
      <c r="AG125" s="161"/>
      <c r="AH125" s="161"/>
      <c r="AI125" s="161"/>
      <c r="AJ125" s="161"/>
      <c r="AK125" s="161"/>
      <c r="AL125" s="161"/>
      <c r="AM125" s="161"/>
      <c r="AN125" s="161"/>
      <c r="AO125" s="161"/>
      <c r="AP125" s="161"/>
      <c r="AQ125" s="161"/>
      <c r="AR125" s="161"/>
      <c r="AS125" s="161"/>
      <c r="AT125" s="161"/>
      <c r="AU125" s="161"/>
      <c r="AV125" s="161"/>
      <c r="AW125" s="161"/>
      <c r="AX125" s="161"/>
      <c r="AY125" s="161"/>
      <c r="AZ125" s="161"/>
      <c r="BA125" s="161"/>
      <c r="BB125" s="161"/>
      <c r="BC125" s="161"/>
      <c r="BD125" s="161"/>
      <c r="BE125" s="161"/>
      <c r="BF125" s="161"/>
      <c r="BG125" s="161"/>
      <c r="BH125" s="161"/>
      <c r="BI125" s="161"/>
      <c r="BJ125" s="161"/>
      <c r="BK125" s="161"/>
      <c r="BL125" s="161"/>
      <c r="BM125" s="161"/>
      <c r="BN125" s="161"/>
      <c r="BO125" s="161"/>
      <c r="BP125" s="161"/>
      <c r="BQ125" s="161"/>
      <c r="BR125" s="161"/>
      <c r="BS125" s="161"/>
      <c r="BT125" s="161"/>
      <c r="BU125" s="161"/>
      <c r="BV125" s="161"/>
      <c r="BW125" s="161"/>
      <c r="BX125" s="664"/>
    </row>
    <row r="126" ht="13.55" customHeight="1">
      <c r="A126" s="347"/>
      <c r="B126" s="161"/>
      <c r="C126" s="161"/>
      <c r="D126" s="161"/>
      <c r="E126" s="161"/>
      <c r="F126" s="161"/>
      <c r="G126" s="161"/>
      <c r="H126" s="161"/>
      <c r="I126" s="161"/>
      <c r="J126" s="161"/>
      <c r="K126" s="161"/>
      <c r="L126" s="161"/>
      <c r="M126" s="161"/>
      <c r="N126" s="161"/>
      <c r="O126" s="161"/>
      <c r="P126" s="161"/>
      <c r="Q126" s="161"/>
      <c r="R126" s="219"/>
      <c r="S126" s="161"/>
      <c r="T126" s="161"/>
      <c r="U126" s="161"/>
      <c r="V126" s="161"/>
      <c r="W126" s="161"/>
      <c r="X126" s="161"/>
      <c r="Y126" s="161"/>
      <c r="Z126" s="161"/>
      <c r="AA126" s="161"/>
      <c r="AB126" s="161"/>
      <c r="AC126" s="161"/>
      <c r="AD126" s="161"/>
      <c r="AE126" s="161"/>
      <c r="AF126" s="161"/>
      <c r="AG126" s="161"/>
      <c r="AH126" s="161"/>
      <c r="AI126" s="161"/>
      <c r="AJ126" s="161"/>
      <c r="AK126" s="161"/>
      <c r="AL126" s="161"/>
      <c r="AM126" s="161"/>
      <c r="AN126" s="161"/>
      <c r="AO126" s="161"/>
      <c r="AP126" s="161"/>
      <c r="AQ126" s="161"/>
      <c r="AR126" s="161"/>
      <c r="AS126" s="161"/>
      <c r="AT126" s="161"/>
      <c r="AU126" s="161"/>
      <c r="AV126" s="161"/>
      <c r="AW126" s="161"/>
      <c r="AX126" s="161"/>
      <c r="AY126" s="161"/>
      <c r="AZ126" s="161"/>
      <c r="BA126" s="161"/>
      <c r="BB126" s="161"/>
      <c r="BC126" s="161"/>
      <c r="BD126" s="161"/>
      <c r="BE126" s="161"/>
      <c r="BF126" s="161"/>
      <c r="BG126" s="161"/>
      <c r="BH126" s="161"/>
      <c r="BI126" s="161"/>
      <c r="BJ126" s="161"/>
      <c r="BK126" s="161"/>
      <c r="BL126" s="161"/>
      <c r="BM126" s="161"/>
      <c r="BN126" s="161"/>
      <c r="BO126" s="161"/>
      <c r="BP126" s="161"/>
      <c r="BQ126" s="161"/>
      <c r="BR126" s="161"/>
      <c r="BS126" s="161"/>
      <c r="BT126" s="161"/>
      <c r="BU126" s="161"/>
      <c r="BV126" s="161"/>
      <c r="BW126" s="161"/>
      <c r="BX126" s="664"/>
    </row>
    <row r="127" ht="13.55" customHeight="1">
      <c r="A127" s="654"/>
      <c r="B127" s="655"/>
      <c r="C127" s="655"/>
      <c r="D127" s="655"/>
      <c r="E127" s="655"/>
      <c r="F127" s="655"/>
      <c r="G127" s="655"/>
      <c r="H127" s="655"/>
      <c r="I127" s="655"/>
      <c r="J127" s="655"/>
      <c r="K127" s="655"/>
      <c r="L127" s="655"/>
      <c r="M127" s="655"/>
      <c r="N127" s="655"/>
      <c r="O127" s="655"/>
      <c r="P127" s="655"/>
      <c r="Q127" s="655"/>
      <c r="R127" s="656"/>
      <c r="S127" s="655"/>
      <c r="T127" s="655"/>
      <c r="U127" s="655"/>
      <c r="V127" s="655"/>
      <c r="W127" s="655"/>
      <c r="X127" s="655"/>
      <c r="Y127" s="655"/>
      <c r="Z127" s="655"/>
      <c r="AA127" s="655"/>
      <c r="AB127" s="655"/>
      <c r="AC127" s="655"/>
      <c r="AD127" s="655"/>
      <c r="AE127" s="655"/>
      <c r="AF127" s="655"/>
      <c r="AG127" s="655"/>
      <c r="AH127" s="655"/>
      <c r="AI127" s="655"/>
      <c r="AJ127" s="655"/>
      <c r="AK127" s="655"/>
      <c r="AL127" s="655"/>
      <c r="AM127" s="655"/>
      <c r="AN127" s="655"/>
      <c r="AO127" s="655"/>
      <c r="AP127" s="655"/>
      <c r="AQ127" s="655"/>
      <c r="AR127" s="655"/>
      <c r="AS127" s="655"/>
      <c r="AT127" s="655"/>
      <c r="AU127" s="655"/>
      <c r="AV127" s="655"/>
      <c r="AW127" s="655"/>
      <c r="AX127" s="655"/>
      <c r="AY127" s="655"/>
      <c r="AZ127" s="655"/>
      <c r="BA127" s="655"/>
      <c r="BB127" s="655"/>
      <c r="BC127" s="655"/>
      <c r="BD127" s="655"/>
      <c r="BE127" s="655"/>
      <c r="BF127" s="655"/>
      <c r="BG127" s="655"/>
      <c r="BH127" s="655"/>
      <c r="BI127" s="655"/>
      <c r="BJ127" s="655"/>
      <c r="BK127" s="655"/>
      <c r="BL127" s="655"/>
      <c r="BM127" s="655"/>
      <c r="BN127" s="655"/>
      <c r="BO127" s="655"/>
      <c r="BP127" s="655"/>
      <c r="BQ127" s="655"/>
      <c r="BR127" s="655"/>
      <c r="BS127" s="655"/>
      <c r="BT127" s="655"/>
      <c r="BU127" s="655"/>
      <c r="BV127" s="655"/>
      <c r="BW127" s="655"/>
      <c r="BX127" s="771"/>
    </row>
  </sheetData>
  <mergeCells count="273">
    <mergeCell ref="B9:B10"/>
    <mergeCell ref="C9:E9"/>
    <mergeCell ref="F9:H10"/>
    <mergeCell ref="I9:K9"/>
    <mergeCell ref="L9:N9"/>
    <mergeCell ref="O9:P9"/>
    <mergeCell ref="D11:E11"/>
    <mergeCell ref="F11:H11"/>
    <mergeCell ref="D15:E15"/>
    <mergeCell ref="F15:H15"/>
    <mergeCell ref="D13:E13"/>
    <mergeCell ref="F13:H13"/>
    <mergeCell ref="T9:V9"/>
    <mergeCell ref="W9:X9"/>
    <mergeCell ref="Y9:AA9"/>
    <mergeCell ref="AB9:AD9"/>
    <mergeCell ref="AE9:AG9"/>
    <mergeCell ref="AH9:AH10"/>
    <mergeCell ref="AI9:AI10"/>
    <mergeCell ref="D10:E10"/>
    <mergeCell ref="T10:U10"/>
    <mergeCell ref="R1:R31"/>
    <mergeCell ref="C2:D2"/>
    <mergeCell ref="F2:H6"/>
    <mergeCell ref="J2:M5"/>
    <mergeCell ref="C3:D3"/>
    <mergeCell ref="D19:E19"/>
    <mergeCell ref="F19:H19"/>
    <mergeCell ref="D23:E23"/>
    <mergeCell ref="F23:H23"/>
    <mergeCell ref="D27:E27"/>
    <mergeCell ref="F27:H27"/>
    <mergeCell ref="T11:U11"/>
    <mergeCell ref="D12:E12"/>
    <mergeCell ref="F12:H12"/>
    <mergeCell ref="T12:U12"/>
    <mergeCell ref="T13:U13"/>
    <mergeCell ref="D14:E14"/>
    <mergeCell ref="F14:H14"/>
    <mergeCell ref="T14:U14"/>
    <mergeCell ref="T15:U15"/>
    <mergeCell ref="D16:E16"/>
    <mergeCell ref="F16:H16"/>
    <mergeCell ref="T16:U16"/>
    <mergeCell ref="D17:E17"/>
    <mergeCell ref="F17:H17"/>
    <mergeCell ref="T17:U17"/>
    <mergeCell ref="D18:E18"/>
    <mergeCell ref="F18:H18"/>
    <mergeCell ref="T18:U18"/>
    <mergeCell ref="T19:U19"/>
    <mergeCell ref="D20:E20"/>
    <mergeCell ref="F20:H20"/>
    <mergeCell ref="T20:U20"/>
    <mergeCell ref="D21:E21"/>
    <mergeCell ref="F21:H21"/>
    <mergeCell ref="T21:U21"/>
    <mergeCell ref="D22:E22"/>
    <mergeCell ref="F22:H22"/>
    <mergeCell ref="T22:U22"/>
    <mergeCell ref="T23:U23"/>
    <mergeCell ref="D24:E24"/>
    <mergeCell ref="F24:H24"/>
    <mergeCell ref="T24:U24"/>
    <mergeCell ref="D25:E25"/>
    <mergeCell ref="F25:H25"/>
    <mergeCell ref="T25:U25"/>
    <mergeCell ref="D26:E26"/>
    <mergeCell ref="F26:H26"/>
    <mergeCell ref="T26:U26"/>
    <mergeCell ref="T27:U27"/>
    <mergeCell ref="D28:E28"/>
    <mergeCell ref="F28:H28"/>
    <mergeCell ref="T28:U28"/>
    <mergeCell ref="D29:E29"/>
    <mergeCell ref="F29:H29"/>
    <mergeCell ref="T29:U29"/>
    <mergeCell ref="D30:E30"/>
    <mergeCell ref="F30:H30"/>
    <mergeCell ref="T30:U30"/>
    <mergeCell ref="I32:N32"/>
    <mergeCell ref="I33:N33"/>
    <mergeCell ref="R34:R62"/>
    <mergeCell ref="B37:B38"/>
    <mergeCell ref="C37:D37"/>
    <mergeCell ref="E37:G37"/>
    <mergeCell ref="H37:H38"/>
    <mergeCell ref="I37:K38"/>
    <mergeCell ref="L37:N38"/>
    <mergeCell ref="O37:P37"/>
    <mergeCell ref="F40:G40"/>
    <mergeCell ref="I40:K40"/>
    <mergeCell ref="L40:N40"/>
    <mergeCell ref="F43:G43"/>
    <mergeCell ref="I43:K43"/>
    <mergeCell ref="L43:N43"/>
    <mergeCell ref="F46:G46"/>
    <mergeCell ref="I46:K46"/>
    <mergeCell ref="L46:N46"/>
    <mergeCell ref="F49:G49"/>
    <mergeCell ref="I49:K49"/>
    <mergeCell ref="T40:U40"/>
    <mergeCell ref="F41:G41"/>
    <mergeCell ref="I41:K41"/>
    <mergeCell ref="L41:N41"/>
    <mergeCell ref="T41:U41"/>
    <mergeCell ref="F42:G42"/>
    <mergeCell ref="I42:K42"/>
    <mergeCell ref="L42:N42"/>
    <mergeCell ref="T42:U42"/>
    <mergeCell ref="T37:V37"/>
    <mergeCell ref="W37:X37"/>
    <mergeCell ref="Y37:AA37"/>
    <mergeCell ref="AB37:AD37"/>
    <mergeCell ref="AE37:AF37"/>
    <mergeCell ref="AG37:AH37"/>
    <mergeCell ref="F38:G38"/>
    <mergeCell ref="T38:U38"/>
    <mergeCell ref="F39:G39"/>
    <mergeCell ref="I39:K39"/>
    <mergeCell ref="L39:N39"/>
    <mergeCell ref="T39:U39"/>
    <mergeCell ref="T43:U43"/>
    <mergeCell ref="F44:G44"/>
    <mergeCell ref="I44:K44"/>
    <mergeCell ref="L44:N44"/>
    <mergeCell ref="T44:U44"/>
    <mergeCell ref="F45:G45"/>
    <mergeCell ref="I45:K45"/>
    <mergeCell ref="L45:N45"/>
    <mergeCell ref="T45:U45"/>
    <mergeCell ref="T46:U46"/>
    <mergeCell ref="F47:G47"/>
    <mergeCell ref="I47:K47"/>
    <mergeCell ref="L47:N47"/>
    <mergeCell ref="T47:U47"/>
    <mergeCell ref="F48:G48"/>
    <mergeCell ref="I48:K48"/>
    <mergeCell ref="L48:N48"/>
    <mergeCell ref="T48:U48"/>
    <mergeCell ref="T49:U49"/>
    <mergeCell ref="F50:G50"/>
    <mergeCell ref="I50:K50"/>
    <mergeCell ref="L50:N50"/>
    <mergeCell ref="T50:U50"/>
    <mergeCell ref="F51:G51"/>
    <mergeCell ref="I51:K51"/>
    <mergeCell ref="L51:N51"/>
    <mergeCell ref="T51:U51"/>
    <mergeCell ref="L49:N49"/>
    <mergeCell ref="L52:N52"/>
    <mergeCell ref="T52:U52"/>
    <mergeCell ref="F53:G53"/>
    <mergeCell ref="I53:K53"/>
    <mergeCell ref="L53:N53"/>
    <mergeCell ref="T53:U53"/>
    <mergeCell ref="F54:G54"/>
    <mergeCell ref="I54:K54"/>
    <mergeCell ref="L54:N54"/>
    <mergeCell ref="T54:U54"/>
    <mergeCell ref="F52:G52"/>
    <mergeCell ref="I52:K52"/>
    <mergeCell ref="F55:G55"/>
    <mergeCell ref="I55:K55"/>
    <mergeCell ref="L55:N55"/>
    <mergeCell ref="T55:U55"/>
    <mergeCell ref="F56:G56"/>
    <mergeCell ref="I56:K56"/>
    <mergeCell ref="L56:N56"/>
    <mergeCell ref="T56:U56"/>
    <mergeCell ref="F57:G57"/>
    <mergeCell ref="I57:K57"/>
    <mergeCell ref="L57:N57"/>
    <mergeCell ref="T57:U57"/>
    <mergeCell ref="F58:G58"/>
    <mergeCell ref="I58:K58"/>
    <mergeCell ref="L58:N58"/>
    <mergeCell ref="T58:U58"/>
    <mergeCell ref="I59:K59"/>
    <mergeCell ref="L59:N59"/>
    <mergeCell ref="I60:N60"/>
    <mergeCell ref="A63:A65"/>
    <mergeCell ref="R63:R88"/>
    <mergeCell ref="B64:B65"/>
    <mergeCell ref="C64:D64"/>
    <mergeCell ref="E64:G64"/>
    <mergeCell ref="H64:H65"/>
    <mergeCell ref="I64:I65"/>
    <mergeCell ref="J64:K65"/>
    <mergeCell ref="L64:L65"/>
    <mergeCell ref="M64:N65"/>
    <mergeCell ref="O64:P64"/>
    <mergeCell ref="T64:AD64"/>
    <mergeCell ref="F68:G68"/>
    <mergeCell ref="J68:K68"/>
    <mergeCell ref="M68:N68"/>
    <mergeCell ref="F69:G69"/>
    <mergeCell ref="J69:K69"/>
    <mergeCell ref="AE64:AE65"/>
    <mergeCell ref="AF64:AP64"/>
    <mergeCell ref="AQ64:AQ65"/>
    <mergeCell ref="AR64:AX64"/>
    <mergeCell ref="F65:G65"/>
    <mergeCell ref="F66:G66"/>
    <mergeCell ref="J66:K66"/>
    <mergeCell ref="M66:N66"/>
    <mergeCell ref="F67:G67"/>
    <mergeCell ref="J67:K67"/>
    <mergeCell ref="M67:N67"/>
    <mergeCell ref="M69:N69"/>
    <mergeCell ref="F70:G70"/>
    <mergeCell ref="J70:K70"/>
    <mergeCell ref="M70:N70"/>
    <mergeCell ref="F71:G71"/>
    <mergeCell ref="J71:K71"/>
    <mergeCell ref="M71:N71"/>
    <mergeCell ref="F72:G72"/>
    <mergeCell ref="J72:K72"/>
    <mergeCell ref="M72:N72"/>
    <mergeCell ref="F73:G73"/>
    <mergeCell ref="J73:K73"/>
    <mergeCell ref="M73:N73"/>
    <mergeCell ref="F74:G74"/>
    <mergeCell ref="J74:K74"/>
    <mergeCell ref="M74:N74"/>
    <mergeCell ref="F75:G75"/>
    <mergeCell ref="J75:K75"/>
    <mergeCell ref="M75:N75"/>
    <mergeCell ref="F76:G76"/>
    <mergeCell ref="J76:K76"/>
    <mergeCell ref="M76:N76"/>
    <mergeCell ref="F77:G77"/>
    <mergeCell ref="J77:K77"/>
    <mergeCell ref="M77:N77"/>
    <mergeCell ref="F78:G78"/>
    <mergeCell ref="J78:K78"/>
    <mergeCell ref="M78:N78"/>
    <mergeCell ref="F79:G79"/>
    <mergeCell ref="J79:K79"/>
    <mergeCell ref="M79:N79"/>
    <mergeCell ref="F80:G80"/>
    <mergeCell ref="J80:K80"/>
    <mergeCell ref="M80:N80"/>
    <mergeCell ref="F81:G81"/>
    <mergeCell ref="J81:K81"/>
    <mergeCell ref="M81:N81"/>
    <mergeCell ref="F82:G82"/>
    <mergeCell ref="J82:K82"/>
    <mergeCell ref="M82:N82"/>
    <mergeCell ref="F83:G83"/>
    <mergeCell ref="J83:K83"/>
    <mergeCell ref="M83:N83"/>
    <mergeCell ref="F84:G84"/>
    <mergeCell ref="J84:K84"/>
    <mergeCell ref="M84:N84"/>
    <mergeCell ref="F85:G85"/>
    <mergeCell ref="J85:K85"/>
    <mergeCell ref="M85:N85"/>
    <mergeCell ref="M86:N86"/>
    <mergeCell ref="R89:R97"/>
    <mergeCell ref="A91:Q93"/>
    <mergeCell ref="B97:D97"/>
    <mergeCell ref="E97:I97"/>
    <mergeCell ref="R98:R100"/>
    <mergeCell ref="R101:R127"/>
    <mergeCell ref="B103:B113"/>
    <mergeCell ref="C103:C108"/>
    <mergeCell ref="H103:H108"/>
    <mergeCell ref="C109:C112"/>
    <mergeCell ref="H109:H112"/>
    <mergeCell ref="B115:E115"/>
    <mergeCell ref="B116:E116"/>
    <mergeCell ref="B117:E117"/>
  </mergeCells>
  <conditionalFormatting sqref="P1:P5 J66:K85">
    <cfRule type="containsText" dxfId="73" priority="1" stopIfTrue="1" text="▲">
      <formula>NOT(ISERROR(FIND(UPPER("▲"),UPPER(P1))))</formula>
      <formula>"▲"</formula>
    </cfRule>
  </conditionalFormatting>
  <conditionalFormatting sqref="J2">
    <cfRule type="containsText" dxfId="74" priority="1" stopIfTrue="1" text="Technical">
      <formula>NOT(ISERROR(FIND(UPPER("Technical"),UPPER(J2))))</formula>
      <formula>"Technical"</formula>
    </cfRule>
  </conditionalFormatting>
  <conditionalFormatting sqref="L11:L30">
    <cfRule type="containsText" dxfId="75" priority="1" stopIfTrue="1" text="▲">
      <formula>NOT(ISERROR(FIND(UPPER("▲"),UPPER(L11))))</formula>
      <formula>"▲"</formula>
    </cfRule>
    <cfRule type="containsText" dxfId="76" priority="2" stopIfTrue="1" text="value">
      <formula>NOT(ISERROR(FIND(UPPER("value"),UPPER(L11))))</formula>
      <formula>"value"</formula>
    </cfRule>
    <cfRule type="cellIs" dxfId="77" priority="3" operator="equal" stopIfTrue="1">
      <formula>"Any loss Unacceptable"</formula>
    </cfRule>
  </conditionalFormatting>
  <conditionalFormatting sqref="M11:M30">
    <cfRule type="containsText" dxfId="78" priority="1" stopIfTrue="1" text="error">
      <formula>NOT(ISERROR(FIND(UPPER("error"),UPPER(M11))))</formula>
      <formula>"error"</formula>
    </cfRule>
    <cfRule type="cellIs" dxfId="79" priority="2" operator="equal" stopIfTrue="1">
      <formula>"Any loss Unacceptable"</formula>
    </cfRule>
  </conditionalFormatting>
  <conditionalFormatting sqref="N11:N30">
    <cfRule type="containsText" dxfId="80" priority="1" stopIfTrue="1" text="▲">
      <formula>NOT(ISERROR(FIND(UPPER("▲"),UPPER(N11))))</formula>
      <formula>"▲"</formula>
    </cfRule>
    <cfRule type="containsText" dxfId="81" priority="2" stopIfTrue="1" text="error">
      <formula>NOT(ISERROR(FIND(UPPER("error"),UPPER(N11))))</formula>
      <formula>"error"</formula>
    </cfRule>
    <cfRule type="cellIs" dxfId="82" priority="3" operator="equal" stopIfTrue="1">
      <formula>"Alternative Compensation"</formula>
    </cfRule>
    <cfRule type="cellIs" dxfId="83" priority="4" operator="equal" stopIfTrue="1">
      <formula>"Unacceptable Loss"</formula>
    </cfRule>
    <cfRule type="cellIs" dxfId="84" priority="5" operator="equal" stopIfTrue="1">
      <formula>"Compensation Agreed"</formula>
    </cfRule>
    <cfRule type="cellIs" dxfId="85" priority="6" operator="equal" stopIfTrue="1">
      <formula>"Unacceptable Loss"</formula>
    </cfRule>
    <cfRule type="cellIs" dxfId="86" priority="7" operator="equal" stopIfTrue="1">
      <formula>"Compensation Agreed"</formula>
    </cfRule>
    <cfRule type="cellIs" dxfId="87" priority="8" operator="equal" stopIfTrue="1">
      <formula>"Unacceptable Loss"</formula>
    </cfRule>
  </conditionalFormatting>
  <conditionalFormatting sqref="X11:X30 X39:X58">
    <cfRule type="cellIs" dxfId="88" priority="1" operator="equal" stopIfTrue="1">
      <formula>"Not Possible"</formula>
    </cfRule>
  </conditionalFormatting>
  <conditionalFormatting sqref="AG11:AG30">
    <cfRule type="cellIs" dxfId="89" priority="1" operator="equal" stopIfTrue="1">
      <formula>"Unacceptable Loss"</formula>
    </cfRule>
  </conditionalFormatting>
  <conditionalFormatting sqref="I31 I59:K59">
    <cfRule type="cellIs" dxfId="90" priority="1" operator="greaterThan" stopIfTrue="1">
      <formula>5000</formula>
    </cfRule>
  </conditionalFormatting>
  <conditionalFormatting sqref="I32:N32">
    <cfRule type="containsText" dxfId="91" priority="1" stopIfTrue="1" text="error">
      <formula>NOT(ISERROR(FIND(UPPER("error"),UPPER(I32))))</formula>
      <formula>"error"</formula>
    </cfRule>
    <cfRule type="containsText" dxfId="92" priority="2" stopIfTrue="1" text="acceptable">
      <formula>NOT(ISERROR(FIND(UPPER("acceptable"),UPPER(I32))))</formula>
      <formula>"acceptable"</formula>
    </cfRule>
  </conditionalFormatting>
  <conditionalFormatting sqref="I33:N33 I60:N60">
    <cfRule type="containsText" dxfId="93" priority="1" stopIfTrue="1" text="▲">
      <formula>NOT(ISERROR(FIND(UPPER("▲"),UPPER(I33))))</formula>
      <formula>"▲"</formula>
    </cfRule>
    <cfRule type="containsText" dxfId="94" priority="2" stopIfTrue="1" text="✓">
      <formula>NOT(ISERROR(FIND(UPPER("✓"),UPPER(I33))))</formula>
      <formula>"✓"</formula>
    </cfRule>
  </conditionalFormatting>
  <conditionalFormatting sqref="F39:F58">
    <cfRule type="containsBlanks" dxfId="95" priority="1" stopIfTrue="1">
      <formula>ISBLANK(F39)</formula>
    </cfRule>
  </conditionalFormatting>
  <conditionalFormatting sqref="L39:M58">
    <cfRule type="containsText" dxfId="96" priority="1" stopIfTrue="1" text="▲">
      <formula>NOT(ISERROR(FIND(UPPER("▲"),UPPER(L39))))</formula>
      <formula>"▲"</formula>
    </cfRule>
    <cfRule type="containsText" dxfId="97" priority="2" stopIfTrue="1" text="value">
      <formula>NOT(ISERROR(FIND(UPPER("value"),UPPER(L39))))</formula>
      <formula>"value"</formula>
    </cfRule>
    <cfRule type="cellIs" dxfId="98" priority="3" operator="equal" stopIfTrue="1">
      <formula>"Alternative Compensation"</formula>
    </cfRule>
    <cfRule type="cellIs" dxfId="99" priority="4" operator="equal" stopIfTrue="1">
      <formula>"Unacceptable Loss"</formula>
    </cfRule>
    <cfRule type="cellIs" dxfId="100" priority="5" operator="equal" stopIfTrue="1">
      <formula>"Compensation Agreed"</formula>
    </cfRule>
    <cfRule type="cellIs" dxfId="101" priority="6" operator="equal" stopIfTrue="1">
      <formula>"Unacceptable Loss"</formula>
    </cfRule>
    <cfRule type="cellIs" dxfId="102" priority="7" operator="equal" stopIfTrue="1">
      <formula>"Compensation Agreed"</formula>
    </cfRule>
    <cfRule type="cellIs" dxfId="103" priority="8" operator="equal" stopIfTrue="1">
      <formula>"Unacceptable Loss"</formula>
    </cfRule>
  </conditionalFormatting>
  <conditionalFormatting sqref="N39:N58">
    <cfRule type="containsText" dxfId="104" priority="1" stopIfTrue="1" text="▲">
      <formula>NOT(ISERROR(FIND(UPPER("▲"),UPPER(N39))))</formula>
      <formula>"▲"</formula>
    </cfRule>
    <cfRule type="containsText" dxfId="105" priority="2" stopIfTrue="1" text="value">
      <formula>NOT(ISERROR(FIND(UPPER("value"),UPPER(N39))))</formula>
      <formula>"value"</formula>
    </cfRule>
  </conditionalFormatting>
  <conditionalFormatting sqref="E66:E85">
    <cfRule type="cellIs" dxfId="106" priority="1" operator="equal" stopIfTrue="1">
      <formula>"Enhancement not possible"</formula>
    </cfRule>
  </conditionalFormatting>
  <conditionalFormatting sqref="F66:G85">
    <cfRule type="containsText" dxfId="107" priority="1" stopIfTrue="1" text="not possible">
      <formula>NOT(ISERROR(FIND(UPPER("not possible"),UPPER(F66))))</formula>
      <formula>"not possible"</formula>
    </cfRule>
  </conditionalFormatting>
  <conditionalFormatting sqref="L66:L85">
    <cfRule type="containsText" dxfId="108" priority="1" stopIfTrue="1" text="▲">
      <formula>NOT(ISERROR(FIND(UPPER("▲"),UPPER(L66))))</formula>
      <formula>"▲"</formula>
    </cfRule>
    <cfRule type="cellIs" dxfId="109" priority="2" operator="equal" stopIfTrue="1">
      <formula>"Alternative Compensation"</formula>
    </cfRule>
    <cfRule type="cellIs" dxfId="110" priority="3" operator="equal" stopIfTrue="1">
      <formula>"Unacceptable Loss"</formula>
    </cfRule>
    <cfRule type="cellIs" dxfId="111" priority="4" operator="equal" stopIfTrue="1">
      <formula>"Compensation Agreed"</formula>
    </cfRule>
    <cfRule type="cellIs" dxfId="112" priority="5" operator="equal" stopIfTrue="1">
      <formula>"Unacceptable Loss"</formula>
    </cfRule>
    <cfRule type="cellIs" dxfId="113" priority="6" operator="equal" stopIfTrue="1">
      <formula>"Compensation Agreed"</formula>
    </cfRule>
    <cfRule type="cellIs" dxfId="114" priority="7" operator="equal" stopIfTrue="1">
      <formula>"Unacceptable Loss"</formula>
    </cfRule>
  </conditionalFormatting>
  <conditionalFormatting sqref="M66:M85">
    <cfRule type="containsText" dxfId="115" priority="1" stopIfTrue="1" text="Error">
      <formula>NOT(ISERROR(FIND(UPPER("Error"),UPPER(M66))))</formula>
      <formula>"Error"</formula>
    </cfRule>
    <cfRule type="cellIs" dxfId="116" priority="2" operator="equal" stopIfTrue="1">
      <formula>"Alternative Compensation"</formula>
    </cfRule>
    <cfRule type="cellIs" dxfId="117" priority="3" operator="equal" stopIfTrue="1">
      <formula>"Unacceptable Loss"</formula>
    </cfRule>
    <cfRule type="cellIs" dxfId="118" priority="4" operator="equal" stopIfTrue="1">
      <formula>"Compensation Agreed"</formula>
    </cfRule>
    <cfRule type="cellIs" dxfId="119" priority="5" operator="equal" stopIfTrue="1">
      <formula>"Unacceptable Loss"</formula>
    </cfRule>
    <cfRule type="cellIs" dxfId="120" priority="6" operator="equal" stopIfTrue="1">
      <formula>"Compensation Agreed"</formula>
    </cfRule>
    <cfRule type="cellIs" dxfId="121" priority="7" operator="equal" stopIfTrue="1">
      <formula>"Unacceptable Loss"</formula>
    </cfRule>
  </conditionalFormatting>
  <conditionalFormatting sqref="N66:N85">
    <cfRule type="containsText" dxfId="122" priority="1" stopIfTrue="1" text="Error">
      <formula>NOT(ISERROR(FIND(UPPER("Error"),UPPER(N66))))</formula>
      <formula>"Error"</formula>
    </cfRule>
  </conditionalFormatting>
  <conditionalFormatting sqref="AJ66:AJ85">
    <cfRule type="cellIs" dxfId="123" priority="1" operator="equal" stopIfTrue="1">
      <formula>"Not Possible"</formula>
    </cfRule>
  </conditionalFormatting>
  <conditionalFormatting sqref="I86 L86:M86">
    <cfRule type="cellIs" dxfId="124" priority="1" operator="equal" stopIfTrue="1">
      <formula>"Any loss Unacceptable"</formula>
    </cfRule>
  </conditionalFormatting>
  <conditionalFormatting sqref="E97">
    <cfRule type="containsText" dxfId="125" priority="1" stopIfTrue="1" text="Trading Rules Satisfied">
      <formula>NOT(ISERROR(FIND(UPPER("Trading Rules Satisfied"),UPPER(E97))))</formula>
      <formula>"Trading Rules Satisfied"</formula>
    </cfRule>
    <cfRule type="containsText" dxfId="126" priority="2" stopIfTrue="1" text="Error - Trading Rules Not Satisfied">
      <formula>NOT(ISERROR(FIND(UPPER("Error - Trading Rules Not Satisfied"),UPPER(E97))))</formula>
      <formula>"Error - Trading Rules Not Satisfied"</formula>
    </cfRule>
  </conditionalFormatting>
  <conditionalFormatting sqref="H103 H109 H113">
    <cfRule type="containsText" dxfId="127" priority="1" stopIfTrue="1" text="No">
      <formula>NOT(ISERROR(FIND(UPPER("No"),UPPER(H103))))</formula>
      <formula>"No"</formula>
    </cfRule>
    <cfRule type="containsText" dxfId="128" priority="2" stopIfTrue="1" text="Yes">
      <formula>NOT(ISERROR(FIND(UPPER("Yes"),UPPER(H103))))</formula>
      <formula>"Yes"</formula>
    </cfRule>
  </conditionalFormatting>
  <dataValidations count="2">
    <dataValidation type="list" allowBlank="1" showInputMessage="1" showErrorMessage="1" sqref="F11:H30 H39:H58 H66:H85">
      <formula1>"Formally identified in local strategy,Area/compensation not in local strategy/ no local strategy"</formula1>
    </dataValidation>
    <dataValidation type="list" allowBlank="1" showInputMessage="1" showErrorMessage="1" sqref="F39:F58">
      <formula1>"Good,Moderate,Poor,Condition Assessment N/A,N/A - Other"</formula1>
    </dataValidation>
  </dataValidations>
  <pageMargins left="0.7" right="0.7" top="0.44" bottom="0.38" header="0.3" footer="0.3"/>
  <pageSetup firstPageNumber="1" fitToHeight="1" fitToWidth="1" scale="100" useFirstPageNumber="0" orientation="landscape" pageOrder="downThenOver"/>
  <headerFooter>
    <oddFooter>&amp;C&amp;"Helvetica Neue,Regular"&amp;12&amp;K000000&amp;P</oddFooter>
  </headerFooter>
</worksheet>
</file>

<file path=xl/worksheets/sheet8.xml><?xml version="1.0" encoding="utf-8"?>
<worksheet xmlns:r="http://schemas.openxmlformats.org/officeDocument/2006/relationships" xmlns="http://schemas.openxmlformats.org/spreadsheetml/2006/main">
  <sheetPr>
    <pageSetUpPr fitToPage="1"/>
  </sheetPr>
  <dimension ref="A1:BX130"/>
  <sheetViews>
    <sheetView workbookViewId="0" showGridLines="0" defaultGridColor="1"/>
  </sheetViews>
  <sheetFormatPr defaultColWidth="8.83333" defaultRowHeight="15" customHeight="1" outlineLevelRow="0" outlineLevelCol="0"/>
  <cols>
    <col min="1" max="1" width="4.5" style="772" customWidth="1"/>
    <col min="2" max="2" width="14.8516" style="772" customWidth="1"/>
    <col min="3" max="3" width="24.5" style="772" customWidth="1"/>
    <col min="4" max="4" width="40.1719" style="772" customWidth="1"/>
    <col min="5" max="5" width="27" style="772" customWidth="1"/>
    <col min="6" max="6" width="20.5" style="772" customWidth="1"/>
    <col min="7" max="7" width="33.1719" style="772" customWidth="1"/>
    <col min="8" max="8" width="35.1719" style="772" customWidth="1"/>
    <col min="9" max="9" width="14.5" style="772" customWidth="1"/>
    <col min="10" max="10" width="12.6719" style="772" customWidth="1"/>
    <col min="11" max="11" width="11.5" style="772" customWidth="1"/>
    <col min="12" max="12" width="13" style="772" customWidth="1"/>
    <col min="13" max="14" width="11.5" style="772" customWidth="1"/>
    <col min="15" max="16" width="27" style="772" customWidth="1"/>
    <col min="17" max="18" width="11.5" style="772" customWidth="1"/>
    <col min="19" max="19" width="7.17188" style="772" customWidth="1"/>
    <col min="20" max="20" width="14.5" style="772" customWidth="1"/>
    <col min="21" max="21" width="14.8516" style="772" customWidth="1"/>
    <col min="22" max="22" width="20.6719" style="772" customWidth="1"/>
    <col min="23" max="23" width="23.6719" style="772" customWidth="1"/>
    <col min="24" max="24" width="16.8516" style="772" customWidth="1"/>
    <col min="25" max="25" width="14" style="772" customWidth="1"/>
    <col min="26" max="26" width="21.3516" style="772" customWidth="1"/>
    <col min="27" max="27" width="14" style="772" customWidth="1"/>
    <col min="28" max="28" width="33.6719" style="772" customWidth="1"/>
    <col min="29" max="30" width="32.6719" style="772" customWidth="1"/>
    <col min="31" max="31" width="18.6719" style="772" customWidth="1"/>
    <col min="32" max="32" width="23.6719" style="772" customWidth="1"/>
    <col min="33" max="33" width="16.6719" style="772" customWidth="1"/>
    <col min="34" max="34" width="35.6719" style="772" customWidth="1"/>
    <col min="35" max="35" width="76.3516" style="772" customWidth="1"/>
    <col min="36" max="36" width="23.5" style="772" customWidth="1"/>
    <col min="37" max="37" width="4.5" style="772" customWidth="1"/>
    <col min="38" max="38" width="5.35156" style="772" customWidth="1"/>
    <col min="39" max="39" width="6.67188" style="772" customWidth="1"/>
    <col min="40" max="40" width="12.3516" style="772" customWidth="1"/>
    <col min="41" max="41" width="34.1719" style="772" customWidth="1"/>
    <col min="42" max="42" width="19.6719" style="772" customWidth="1"/>
    <col min="43" max="43" width="16.3516" style="772" customWidth="1"/>
    <col min="44" max="47" width="27.3516" style="772" customWidth="1"/>
    <col min="48" max="48" width="21.1719" style="772" customWidth="1"/>
    <col min="49" max="49" width="37.5" style="772" customWidth="1"/>
    <col min="50" max="50" width="68.3516" style="772" customWidth="1"/>
    <col min="51" max="51" width="26.5" style="772" customWidth="1"/>
    <col min="52" max="52" width="24.5" style="772" customWidth="1"/>
    <col min="53" max="76" width="8.85156" style="772" customWidth="1"/>
    <col min="77" max="16384" width="8.85156" style="772" customWidth="1"/>
  </cols>
  <sheetData>
    <row r="1" ht="15.75" customHeight="1">
      <c r="A1" s="658"/>
      <c r="B1" s="659"/>
      <c r="C1" s="659"/>
      <c r="D1" s="659"/>
      <c r="E1" s="660"/>
      <c r="F1" s="659"/>
      <c r="G1" s="659"/>
      <c r="H1" s="659"/>
      <c r="I1" s="200"/>
      <c r="J1" s="200"/>
      <c r="K1" s="200"/>
      <c r="L1" s="200"/>
      <c r="M1" s="200"/>
      <c r="N1" s="201"/>
      <c r="O1" t="s" s="202">
        <v>98</v>
      </c>
      <c r="P1" s="203">
        <f>_xlfn.IFERROR(SUM(AE11:AE30),"Error ▲")</f>
        <v>0</v>
      </c>
      <c r="Q1" s="661"/>
      <c r="R1" t="s" s="205">
        <v>99</v>
      </c>
      <c r="S1" s="660"/>
      <c r="T1" s="662"/>
      <c r="U1" s="660"/>
      <c r="V1" s="660"/>
      <c r="W1" s="660"/>
      <c r="X1" s="660"/>
      <c r="Y1" s="660"/>
      <c r="Z1" s="660"/>
      <c r="AA1" s="660"/>
      <c r="AB1" s="660"/>
      <c r="AC1" s="660"/>
      <c r="AD1" s="660"/>
      <c r="AE1" s="660"/>
      <c r="AF1" s="660"/>
      <c r="AG1" s="660"/>
      <c r="AH1" s="660"/>
      <c r="AI1" s="660"/>
      <c r="AJ1" s="773"/>
      <c r="AK1" s="773"/>
      <c r="AL1" s="773"/>
      <c r="AM1" s="773"/>
      <c r="AN1" s="773"/>
      <c r="AO1" s="660"/>
      <c r="AP1" s="660"/>
      <c r="AQ1" s="660"/>
      <c r="AR1" s="660"/>
      <c r="AS1" s="660"/>
      <c r="AT1" s="660"/>
      <c r="AU1" s="660"/>
      <c r="AV1" s="660"/>
      <c r="AW1" s="660"/>
      <c r="AX1" s="660"/>
      <c r="AY1" s="660"/>
      <c r="AZ1" s="660"/>
      <c r="BA1" s="660"/>
      <c r="BB1" s="660"/>
      <c r="BC1" s="660"/>
      <c r="BD1" s="660"/>
      <c r="BE1" s="660"/>
      <c r="BF1" s="660"/>
      <c r="BG1" s="660"/>
      <c r="BH1" s="660"/>
      <c r="BI1" s="660"/>
      <c r="BJ1" s="660"/>
      <c r="BK1" s="660"/>
      <c r="BL1" s="660"/>
      <c r="BM1" s="660"/>
      <c r="BN1" s="660"/>
      <c r="BO1" s="660"/>
      <c r="BP1" s="660"/>
      <c r="BQ1" s="660"/>
      <c r="BR1" s="660"/>
      <c r="BS1" s="660"/>
      <c r="BT1" s="660"/>
      <c r="BU1" s="660"/>
      <c r="BV1" s="660"/>
      <c r="BW1" s="660"/>
      <c r="BX1" s="663"/>
    </row>
    <row r="2" ht="20.1" customHeight="1">
      <c r="A2" s="379"/>
      <c r="B2" t="s" s="207">
        <v>100</v>
      </c>
      <c r="C2" t="s" s="208">
        <f>IF('2. Site Details'!D4="","Enter site name on 2. Site Details",'2. Site Details'!D4)</f>
        <v>54</v>
      </c>
      <c r="D2" s="209"/>
      <c r="E2" s="472"/>
      <c r="F2" t="s" s="211">
        <v>322</v>
      </c>
      <c r="G2" s="212"/>
      <c r="H2" s="213"/>
      <c r="I2" s="214"/>
      <c r="J2" t="s" s="215">
        <v>102</v>
      </c>
      <c r="K2" s="216"/>
      <c r="L2" s="216"/>
      <c r="M2" s="216"/>
      <c r="N2" s="217"/>
      <c r="O2" t="s" s="218">
        <v>103</v>
      </c>
      <c r="P2" s="203">
        <f>_xlfn.IFERROR(N31,"Error ▲")</f>
        <v>0</v>
      </c>
      <c r="Q2" s="380"/>
      <c r="R2" s="219"/>
      <c r="S2" s="161"/>
      <c r="T2" s="460"/>
      <c r="U2" s="161"/>
      <c r="V2" s="161"/>
      <c r="W2" s="161"/>
      <c r="X2" s="161"/>
      <c r="Y2" s="161"/>
      <c r="Z2" s="161"/>
      <c r="AA2" s="161"/>
      <c r="AB2" s="161"/>
      <c r="AC2" s="161"/>
      <c r="AD2" s="161"/>
      <c r="AE2" s="161"/>
      <c r="AF2" s="161"/>
      <c r="AG2" s="161"/>
      <c r="AH2" s="161"/>
      <c r="AI2" s="161"/>
      <c r="AJ2" s="774"/>
      <c r="AK2" s="774"/>
      <c r="AL2" s="774"/>
      <c r="AM2" s="774"/>
      <c r="AN2" s="774"/>
      <c r="AO2" s="161"/>
      <c r="AP2" s="161"/>
      <c r="AQ2" s="161"/>
      <c r="AR2" s="161"/>
      <c r="AS2" s="161"/>
      <c r="AT2" s="161"/>
      <c r="AU2" s="161"/>
      <c r="AV2" s="161"/>
      <c r="AW2" s="161"/>
      <c r="AX2" s="161"/>
      <c r="AY2" s="161"/>
      <c r="AZ2" s="161"/>
      <c r="BA2" s="161"/>
      <c r="BB2" s="161"/>
      <c r="BC2" s="161"/>
      <c r="BD2" s="161"/>
      <c r="BE2" s="161"/>
      <c r="BF2" s="161"/>
      <c r="BG2" s="161"/>
      <c r="BH2" s="161"/>
      <c r="BI2" s="161"/>
      <c r="BJ2" s="161"/>
      <c r="BK2" s="161"/>
      <c r="BL2" s="161"/>
      <c r="BM2" s="161"/>
      <c r="BN2" s="161"/>
      <c r="BO2" s="161"/>
      <c r="BP2" s="161"/>
      <c r="BQ2" s="161"/>
      <c r="BR2" s="161"/>
      <c r="BS2" s="161"/>
      <c r="BT2" s="161"/>
      <c r="BU2" s="161"/>
      <c r="BV2" s="161"/>
      <c r="BW2" s="161"/>
      <c r="BX2" s="664"/>
    </row>
    <row r="3" ht="20.1" customHeight="1">
      <c r="A3" s="379"/>
      <c r="B3" t="s" s="221">
        <v>23</v>
      </c>
      <c r="C3" t="s" s="222">
        <v>321</v>
      </c>
      <c r="D3" s="223"/>
      <c r="E3" s="472"/>
      <c r="F3" s="224"/>
      <c r="G3" s="225"/>
      <c r="H3" s="226"/>
      <c r="I3" s="214"/>
      <c r="J3" s="216"/>
      <c r="K3" s="216"/>
      <c r="L3" s="216"/>
      <c r="M3" s="216"/>
      <c r="N3" s="217"/>
      <c r="O3" t="s" s="218">
        <v>104</v>
      </c>
      <c r="P3" s="203">
        <f>_xlfn.IFERROR(L59,"Error ▲")</f>
        <v>0</v>
      </c>
      <c r="Q3" s="380"/>
      <c r="R3" s="219"/>
      <c r="S3" s="161"/>
      <c r="T3" s="460"/>
      <c r="U3" s="161"/>
      <c r="V3" s="161"/>
      <c r="W3" s="161"/>
      <c r="X3" s="161"/>
      <c r="Y3" s="161"/>
      <c r="Z3" s="161"/>
      <c r="AA3" s="161"/>
      <c r="AB3" s="161"/>
      <c r="AC3" s="161"/>
      <c r="AD3" s="161"/>
      <c r="AE3" s="161"/>
      <c r="AF3" s="161"/>
      <c r="AG3" s="161"/>
      <c r="AH3" s="161"/>
      <c r="AI3" s="161"/>
      <c r="AJ3" s="774"/>
      <c r="AK3" s="774"/>
      <c r="AL3" s="774"/>
      <c r="AM3" s="774"/>
      <c r="AN3" s="774"/>
      <c r="AO3" s="161"/>
      <c r="AP3" s="161"/>
      <c r="AQ3" s="161"/>
      <c r="AR3" s="161"/>
      <c r="AS3" s="161"/>
      <c r="AT3" s="161"/>
      <c r="AU3" s="161"/>
      <c r="AV3" s="161"/>
      <c r="AW3" s="161"/>
      <c r="AX3" s="161"/>
      <c r="AY3" s="161"/>
      <c r="AZ3" s="161"/>
      <c r="BA3" s="161"/>
      <c r="BB3" s="161"/>
      <c r="BC3" s="161"/>
      <c r="BD3" s="161"/>
      <c r="BE3" s="161"/>
      <c r="BF3" s="161"/>
      <c r="BG3" s="161"/>
      <c r="BH3" s="161"/>
      <c r="BI3" s="161"/>
      <c r="BJ3" s="161"/>
      <c r="BK3" s="161"/>
      <c r="BL3" s="161"/>
      <c r="BM3" s="161"/>
      <c r="BN3" s="161"/>
      <c r="BO3" s="161"/>
      <c r="BP3" s="161"/>
      <c r="BQ3" s="161"/>
      <c r="BR3" s="161"/>
      <c r="BS3" s="161"/>
      <c r="BT3" s="161"/>
      <c r="BU3" s="161"/>
      <c r="BV3" s="161"/>
      <c r="BW3" s="161"/>
      <c r="BX3" s="664"/>
    </row>
    <row r="4" ht="20.1" customHeight="1">
      <c r="A4" s="347"/>
      <c r="B4" s="227"/>
      <c r="C4" s="227"/>
      <c r="D4" s="227"/>
      <c r="E4" s="381"/>
      <c r="F4" s="224"/>
      <c r="G4" s="225"/>
      <c r="H4" s="226"/>
      <c r="I4" s="214"/>
      <c r="J4" s="216"/>
      <c r="K4" s="216"/>
      <c r="L4" s="216"/>
      <c r="M4" s="216"/>
      <c r="N4" s="217"/>
      <c r="O4" t="s" s="218">
        <v>105</v>
      </c>
      <c r="P4" s="203">
        <f>_xlfn.IFERROR(L86,"Error ▲")</f>
        <v>0</v>
      </c>
      <c r="Q4" s="380"/>
      <c r="R4" s="219"/>
      <c r="S4" s="161"/>
      <c r="T4" s="460"/>
      <c r="U4" s="161"/>
      <c r="V4" s="161"/>
      <c r="W4" s="161"/>
      <c r="X4" s="161"/>
      <c r="Y4" s="161"/>
      <c r="Z4" s="161"/>
      <c r="AA4" s="161"/>
      <c r="AB4" s="161"/>
      <c r="AC4" s="161"/>
      <c r="AD4" s="161"/>
      <c r="AE4" s="161"/>
      <c r="AF4" s="161"/>
      <c r="AG4" s="161"/>
      <c r="AH4" s="161"/>
      <c r="AI4" s="161"/>
      <c r="AJ4" s="774"/>
      <c r="AK4" s="774"/>
      <c r="AL4" s="774"/>
      <c r="AM4" s="774"/>
      <c r="AN4" s="774"/>
      <c r="AO4" s="161"/>
      <c r="AP4" s="161"/>
      <c r="AQ4" s="161"/>
      <c r="AR4" s="161"/>
      <c r="AS4" s="161"/>
      <c r="AT4" s="161"/>
      <c r="AU4" s="161"/>
      <c r="AV4" s="161"/>
      <c r="AW4" s="161"/>
      <c r="AX4" s="161"/>
      <c r="AY4" s="161"/>
      <c r="AZ4" s="161"/>
      <c r="BA4" s="161"/>
      <c r="BB4" s="161"/>
      <c r="BC4" s="161"/>
      <c r="BD4" s="161"/>
      <c r="BE4" s="161"/>
      <c r="BF4" s="161"/>
      <c r="BG4" s="161"/>
      <c r="BH4" s="161"/>
      <c r="BI4" s="161"/>
      <c r="BJ4" s="161"/>
      <c r="BK4" s="161"/>
      <c r="BL4" s="161"/>
      <c r="BM4" s="161"/>
      <c r="BN4" s="161"/>
      <c r="BO4" s="161"/>
      <c r="BP4" s="161"/>
      <c r="BQ4" s="161"/>
      <c r="BR4" s="161"/>
      <c r="BS4" s="161"/>
      <c r="BT4" s="161"/>
      <c r="BU4" s="161"/>
      <c r="BV4" s="161"/>
      <c r="BW4" s="161"/>
      <c r="BX4" s="664"/>
    </row>
    <row r="5" ht="20.1" customHeight="1">
      <c r="A5" s="229"/>
      <c r="B5" s="161"/>
      <c r="C5" s="161"/>
      <c r="D5" s="161"/>
      <c r="E5" s="381"/>
      <c r="F5" s="224"/>
      <c r="G5" s="225"/>
      <c r="H5" s="226"/>
      <c r="I5" s="214"/>
      <c r="J5" s="216"/>
      <c r="K5" s="216"/>
      <c r="L5" s="216"/>
      <c r="M5" s="216"/>
      <c r="N5" s="217"/>
      <c r="O5" t="s" s="230">
        <v>106</v>
      </c>
      <c r="P5" s="231">
        <f>_xlfn.IFERROR(P1+L59+L86-L31,"Error ▲")</f>
        <v>0</v>
      </c>
      <c r="Q5" s="380"/>
      <c r="R5" s="219"/>
      <c r="S5" s="161"/>
      <c r="T5" s="460"/>
      <c r="U5" s="161"/>
      <c r="V5" s="161"/>
      <c r="W5" s="161"/>
      <c r="X5" s="161"/>
      <c r="Y5" s="161"/>
      <c r="Z5" s="161"/>
      <c r="AA5" s="161"/>
      <c r="AB5" s="161"/>
      <c r="AC5" s="161"/>
      <c r="AD5" s="161"/>
      <c r="AE5" s="161"/>
      <c r="AF5" s="161"/>
      <c r="AG5" s="161"/>
      <c r="AH5" s="161"/>
      <c r="AI5" s="161"/>
      <c r="AJ5" s="774"/>
      <c r="AK5" s="774"/>
      <c r="AL5" s="774"/>
      <c r="AM5" s="774"/>
      <c r="AN5" s="774"/>
      <c r="AO5" s="161"/>
      <c r="AP5" s="161"/>
      <c r="AQ5" s="161"/>
      <c r="AR5" s="161"/>
      <c r="AS5" s="161"/>
      <c r="AT5" s="161"/>
      <c r="AU5" s="161"/>
      <c r="AV5" s="161"/>
      <c r="AW5" s="161"/>
      <c r="AX5" s="161"/>
      <c r="AY5" s="161"/>
      <c r="AZ5" s="161"/>
      <c r="BA5" s="161"/>
      <c r="BB5" s="161"/>
      <c r="BC5" s="161"/>
      <c r="BD5" s="161"/>
      <c r="BE5" s="161"/>
      <c r="BF5" s="161"/>
      <c r="BG5" s="161"/>
      <c r="BH5" s="161"/>
      <c r="BI5" s="161"/>
      <c r="BJ5" s="161"/>
      <c r="BK5" s="161"/>
      <c r="BL5" s="161"/>
      <c r="BM5" s="161"/>
      <c r="BN5" s="161"/>
      <c r="BO5" s="161"/>
      <c r="BP5" s="161"/>
      <c r="BQ5" s="161"/>
      <c r="BR5" s="161"/>
      <c r="BS5" s="161"/>
      <c r="BT5" s="161"/>
      <c r="BU5" s="161"/>
      <c r="BV5" s="161"/>
      <c r="BW5" s="161"/>
      <c r="BX5" s="664"/>
    </row>
    <row r="6" ht="13.35" customHeight="1">
      <c r="A6" s="229"/>
      <c r="B6" s="161"/>
      <c r="C6" s="161"/>
      <c r="D6" s="161"/>
      <c r="E6" s="381"/>
      <c r="F6" s="232"/>
      <c r="G6" s="233"/>
      <c r="H6" s="234"/>
      <c r="I6" s="235"/>
      <c r="J6" s="236"/>
      <c r="K6" s="460"/>
      <c r="L6" s="236"/>
      <c r="M6" s="236"/>
      <c r="N6" s="236"/>
      <c r="O6" s="237"/>
      <c r="P6" s="376"/>
      <c r="Q6" s="161"/>
      <c r="R6" s="219"/>
      <c r="S6" s="161"/>
      <c r="T6" s="460"/>
      <c r="U6" s="161"/>
      <c r="V6" s="161"/>
      <c r="W6" s="161"/>
      <c r="X6" s="161"/>
      <c r="Y6" s="161"/>
      <c r="Z6" s="161"/>
      <c r="AA6" s="161"/>
      <c r="AB6" s="161"/>
      <c r="AC6" s="161"/>
      <c r="AD6" s="161"/>
      <c r="AE6" s="161"/>
      <c r="AF6" s="161"/>
      <c r="AG6" s="161"/>
      <c r="AH6" s="161"/>
      <c r="AI6" s="161"/>
      <c r="AJ6" s="774"/>
      <c r="AK6" s="774"/>
      <c r="AL6" s="774"/>
      <c r="AM6" s="774"/>
      <c r="AN6" s="774"/>
      <c r="AO6" s="161"/>
      <c r="AP6" s="161"/>
      <c r="AQ6" s="161"/>
      <c r="AR6" s="640"/>
      <c r="AS6" s="161"/>
      <c r="AT6" s="161"/>
      <c r="AU6" s="161"/>
      <c r="AV6" s="161"/>
      <c r="AW6" s="161"/>
      <c r="AX6" s="161"/>
      <c r="AY6" s="161"/>
      <c r="AZ6" s="161"/>
      <c r="BA6" s="161"/>
      <c r="BB6" s="161"/>
      <c r="BC6" s="161"/>
      <c r="BD6" s="161"/>
      <c r="BE6" s="161"/>
      <c r="BF6" s="161"/>
      <c r="BG6" s="161"/>
      <c r="BH6" s="161"/>
      <c r="BI6" s="161"/>
      <c r="BJ6" s="161"/>
      <c r="BK6" s="161"/>
      <c r="BL6" s="161"/>
      <c r="BM6" s="161"/>
      <c r="BN6" s="161"/>
      <c r="BO6" s="161"/>
      <c r="BP6" s="161"/>
      <c r="BQ6" s="161"/>
      <c r="BR6" s="161"/>
      <c r="BS6" s="161"/>
      <c r="BT6" s="161"/>
      <c r="BU6" s="161"/>
      <c r="BV6" s="161"/>
      <c r="BW6" s="161"/>
      <c r="BX6" s="664"/>
    </row>
    <row r="7" ht="19.35" customHeight="1">
      <c r="A7" s="347"/>
      <c r="B7" t="s" s="374">
        <v>107</v>
      </c>
      <c r="C7" s="161"/>
      <c r="D7" s="375"/>
      <c r="E7" s="161"/>
      <c r="F7" s="348"/>
      <c r="G7" s="348"/>
      <c r="H7" s="376"/>
      <c r="I7" s="161"/>
      <c r="J7" s="161"/>
      <c r="K7" s="460"/>
      <c r="L7" s="775"/>
      <c r="M7" s="240"/>
      <c r="N7" s="240"/>
      <c r="O7" s="161"/>
      <c r="P7" s="161"/>
      <c r="Q7" s="161"/>
      <c r="R7" s="219"/>
      <c r="S7" s="161"/>
      <c r="T7" s="460"/>
      <c r="U7" s="161"/>
      <c r="V7" s="161"/>
      <c r="W7" s="161"/>
      <c r="X7" s="161"/>
      <c r="Y7" s="161"/>
      <c r="Z7" s="161"/>
      <c r="AA7" s="161"/>
      <c r="AB7" s="161"/>
      <c r="AC7" s="161"/>
      <c r="AD7" s="161"/>
      <c r="AE7" s="161"/>
      <c r="AF7" s="161"/>
      <c r="AG7" s="161"/>
      <c r="AH7" s="161"/>
      <c r="AI7" s="161"/>
      <c r="AJ7" s="774"/>
      <c r="AK7" s="774"/>
      <c r="AL7" s="774"/>
      <c r="AM7" s="774"/>
      <c r="AN7" s="774"/>
      <c r="AO7" s="161"/>
      <c r="AP7" s="161"/>
      <c r="AQ7" s="161"/>
      <c r="AR7" s="640"/>
      <c r="AS7" s="161"/>
      <c r="AT7" s="161"/>
      <c r="AU7" s="161"/>
      <c r="AV7" s="161"/>
      <c r="AW7" s="161"/>
      <c r="AX7" s="161"/>
      <c r="AY7" s="161"/>
      <c r="AZ7" s="161"/>
      <c r="BA7" s="161"/>
      <c r="BB7" s="161"/>
      <c r="BC7" s="161"/>
      <c r="BD7" s="161"/>
      <c r="BE7" s="161"/>
      <c r="BF7" s="161"/>
      <c r="BG7" s="161"/>
      <c r="BH7" s="161"/>
      <c r="BI7" s="161"/>
      <c r="BJ7" s="161"/>
      <c r="BK7" s="161"/>
      <c r="BL7" s="161"/>
      <c r="BM7" s="161"/>
      <c r="BN7" s="161"/>
      <c r="BO7" s="161"/>
      <c r="BP7" s="161"/>
      <c r="BQ7" s="161"/>
      <c r="BR7" s="161"/>
      <c r="BS7" s="161"/>
      <c r="BT7" s="161"/>
      <c r="BU7" s="161"/>
      <c r="BV7" s="161"/>
      <c r="BW7" s="161"/>
      <c r="BX7" s="664"/>
    </row>
    <row r="8" ht="11.1" customHeight="1">
      <c r="A8" s="241"/>
      <c r="B8" s="378"/>
      <c r="C8" s="378"/>
      <c r="D8" s="378"/>
      <c r="E8" s="378"/>
      <c r="F8" s="378"/>
      <c r="G8" s="378"/>
      <c r="H8" s="378"/>
      <c r="I8" s="378"/>
      <c r="J8" s="378"/>
      <c r="K8" s="378"/>
      <c r="L8" s="378"/>
      <c r="M8" s="378"/>
      <c r="N8" s="378"/>
      <c r="O8" s="378"/>
      <c r="P8" s="378"/>
      <c r="Q8" s="161"/>
      <c r="R8" s="219"/>
      <c r="S8" s="161"/>
      <c r="T8" s="378"/>
      <c r="U8" s="378"/>
      <c r="V8" s="378"/>
      <c r="W8" s="378"/>
      <c r="X8" s="378"/>
      <c r="Y8" s="161"/>
      <c r="Z8" s="161"/>
      <c r="AA8" s="161"/>
      <c r="AB8" s="378"/>
      <c r="AC8" s="378"/>
      <c r="AD8" s="378"/>
      <c r="AE8" s="378"/>
      <c r="AF8" s="378"/>
      <c r="AG8" s="378"/>
      <c r="AH8" s="378"/>
      <c r="AI8" s="378"/>
      <c r="AJ8" s="776"/>
      <c r="AK8" s="774"/>
      <c r="AL8" s="774"/>
      <c r="AM8" s="774"/>
      <c r="AN8" s="774"/>
      <c r="AO8" s="161"/>
      <c r="AP8" s="161"/>
      <c r="AQ8" s="161"/>
      <c r="AR8" s="640"/>
      <c r="AS8" s="161"/>
      <c r="AT8" s="161"/>
      <c r="AU8" s="161"/>
      <c r="AV8" s="161"/>
      <c r="AW8" s="161"/>
      <c r="AX8" s="161"/>
      <c r="AY8" s="161"/>
      <c r="AZ8" s="161"/>
      <c r="BA8" s="161"/>
      <c r="BB8" s="161"/>
      <c r="BC8" s="161"/>
      <c r="BD8" s="161"/>
      <c r="BE8" s="161"/>
      <c r="BF8" s="161"/>
      <c r="BG8" s="161"/>
      <c r="BH8" s="161"/>
      <c r="BI8" s="161"/>
      <c r="BJ8" s="161"/>
      <c r="BK8" s="161"/>
      <c r="BL8" s="161"/>
      <c r="BM8" s="161"/>
      <c r="BN8" s="161"/>
      <c r="BO8" s="161"/>
      <c r="BP8" s="161"/>
      <c r="BQ8" s="161"/>
      <c r="BR8" s="161"/>
      <c r="BS8" s="161"/>
      <c r="BT8" s="161"/>
      <c r="BU8" s="161"/>
      <c r="BV8" s="161"/>
      <c r="BW8" s="161"/>
      <c r="BX8" s="664"/>
    </row>
    <row r="9" ht="29.45" customHeight="1">
      <c r="A9" s="242"/>
      <c r="B9" t="s" s="243">
        <v>89</v>
      </c>
      <c r="C9" t="s" s="202">
        <v>108</v>
      </c>
      <c r="D9" s="244"/>
      <c r="E9" s="245"/>
      <c r="F9" t="s" s="246">
        <v>109</v>
      </c>
      <c r="G9" s="247"/>
      <c r="H9" s="248"/>
      <c r="I9" t="s" s="202">
        <v>323</v>
      </c>
      <c r="J9" s="244"/>
      <c r="K9" s="245"/>
      <c r="L9" t="s" s="249">
        <v>111</v>
      </c>
      <c r="M9" s="250"/>
      <c r="N9" s="251"/>
      <c r="O9" t="s" s="249">
        <v>112</v>
      </c>
      <c r="P9" s="251"/>
      <c r="Q9" s="380"/>
      <c r="R9" s="219"/>
      <c r="S9" s="381"/>
      <c r="T9" t="s" s="252">
        <v>113</v>
      </c>
      <c r="U9" s="253"/>
      <c r="V9" s="254"/>
      <c r="W9" t="s" s="483">
        <v>114</v>
      </c>
      <c r="X9" s="777"/>
      <c r="Y9" s="778"/>
      <c r="Z9" s="779"/>
      <c r="AA9" s="780"/>
      <c r="AB9" t="s" s="483">
        <v>115</v>
      </c>
      <c r="AC9" s="781"/>
      <c r="AD9" s="777"/>
      <c r="AE9" t="s" s="252">
        <v>116</v>
      </c>
      <c r="AF9" s="253"/>
      <c r="AG9" s="254"/>
      <c r="AH9" t="s" s="252">
        <v>117</v>
      </c>
      <c r="AI9" t="s" s="465">
        <v>118</v>
      </c>
      <c r="AJ9" t="s" s="782">
        <v>324</v>
      </c>
      <c r="AK9" s="783"/>
      <c r="AL9" s="774"/>
      <c r="AM9" s="774"/>
      <c r="AN9" s="784"/>
      <c r="AO9" s="161"/>
      <c r="AP9" s="161"/>
      <c r="AQ9" s="161"/>
      <c r="AR9" s="640"/>
      <c r="AS9" s="161"/>
      <c r="AT9" s="161"/>
      <c r="AU9" s="161"/>
      <c r="AV9" s="161"/>
      <c r="AW9" s="161"/>
      <c r="AX9" s="161"/>
      <c r="AY9" s="161"/>
      <c r="AZ9" s="161"/>
      <c r="BA9" s="161"/>
      <c r="BB9" s="161"/>
      <c r="BC9" s="161"/>
      <c r="BD9" s="161"/>
      <c r="BE9" s="161"/>
      <c r="BF9" s="161"/>
      <c r="BG9" s="161"/>
      <c r="BH9" s="161"/>
      <c r="BI9" s="161"/>
      <c r="BJ9" s="161"/>
      <c r="BK9" s="161"/>
      <c r="BL9" s="161"/>
      <c r="BM9" s="161"/>
      <c r="BN9" s="161"/>
      <c r="BO9" s="161"/>
      <c r="BP9" s="161"/>
      <c r="BQ9" s="161"/>
      <c r="BR9" s="161"/>
      <c r="BS9" s="161"/>
      <c r="BT9" s="161"/>
      <c r="BU9" s="161"/>
      <c r="BV9" s="161"/>
      <c r="BW9" s="161"/>
      <c r="BX9" s="664"/>
    </row>
    <row r="10" ht="31.5" customHeight="1">
      <c r="A10" s="242"/>
      <c r="B10" s="259"/>
      <c r="C10" t="s" s="230">
        <v>119</v>
      </c>
      <c r="D10" t="s" s="496">
        <v>120</v>
      </c>
      <c r="E10" s="785"/>
      <c r="F10" s="786"/>
      <c r="G10" s="787"/>
      <c r="H10" s="788"/>
      <c r="I10" t="s" s="230">
        <v>294</v>
      </c>
      <c r="J10" t="s" s="265">
        <v>295</v>
      </c>
      <c r="K10" t="s" s="266">
        <v>296</v>
      </c>
      <c r="L10" t="s" s="230">
        <v>297</v>
      </c>
      <c r="M10" t="s" s="265">
        <v>298</v>
      </c>
      <c r="N10" t="s" s="266">
        <v>126</v>
      </c>
      <c r="O10" t="s" s="218">
        <v>127</v>
      </c>
      <c r="P10" t="s" s="266">
        <v>128</v>
      </c>
      <c r="Q10" s="380"/>
      <c r="R10" s="219"/>
      <c r="S10" s="381"/>
      <c r="T10" t="s" s="267">
        <v>129</v>
      </c>
      <c r="U10" s="268"/>
      <c r="V10" t="s" s="269">
        <v>130</v>
      </c>
      <c r="W10" t="s" s="252">
        <v>131</v>
      </c>
      <c r="X10" t="s" s="666">
        <v>130</v>
      </c>
      <c r="Y10" s="789"/>
      <c r="Z10" s="790"/>
      <c r="AA10" s="790"/>
      <c r="AB10" t="s" s="465">
        <v>115</v>
      </c>
      <c r="AC10" t="s" s="465">
        <v>115</v>
      </c>
      <c r="AD10" t="s" s="666">
        <v>132</v>
      </c>
      <c r="AE10" t="s" s="267">
        <v>133</v>
      </c>
      <c r="AF10" t="s" s="270">
        <v>134</v>
      </c>
      <c r="AG10" t="s" s="269">
        <v>135</v>
      </c>
      <c r="AH10" s="668"/>
      <c r="AI10" s="268"/>
      <c r="AJ10" s="791"/>
      <c r="AK10" s="783"/>
      <c r="AL10" s="774"/>
      <c r="AM10" s="774"/>
      <c r="AN10" s="784"/>
      <c r="AO10" s="161"/>
      <c r="AP10" s="161"/>
      <c r="AQ10" s="161"/>
      <c r="AR10" t="s" s="792">
        <v>325</v>
      </c>
      <c r="AS10" s="161"/>
      <c r="AT10" s="161"/>
      <c r="AU10" s="161"/>
      <c r="AV10" s="161"/>
      <c r="AW10" s="161"/>
      <c r="AX10" s="161"/>
      <c r="AY10" s="161"/>
      <c r="AZ10" s="161"/>
      <c r="BA10" s="161"/>
      <c r="BB10" s="161"/>
      <c r="BC10" s="161"/>
      <c r="BD10" s="161"/>
      <c r="BE10" s="161"/>
      <c r="BF10" s="161"/>
      <c r="BG10" s="161"/>
      <c r="BH10" s="161"/>
      <c r="BI10" s="161"/>
      <c r="BJ10" s="161"/>
      <c r="BK10" s="161"/>
      <c r="BL10" s="161"/>
      <c r="BM10" s="161"/>
      <c r="BN10" s="161"/>
      <c r="BO10" s="161"/>
      <c r="BP10" s="161"/>
      <c r="BQ10" s="161"/>
      <c r="BR10" s="161"/>
      <c r="BS10" s="161"/>
      <c r="BT10" s="161"/>
      <c r="BU10" s="161"/>
      <c r="BV10" s="161"/>
      <c r="BW10" s="161"/>
      <c r="BX10" s="664"/>
    </row>
    <row r="11" ht="15.6" customHeight="1">
      <c r="A11" s="242"/>
      <c r="B11" s="272">
        <v>1</v>
      </c>
      <c r="C11" t="s" s="793">
        <v>326</v>
      </c>
      <c r="D11" s="314"/>
      <c r="E11" s="314"/>
      <c r="F11" s="314"/>
      <c r="G11" s="314"/>
      <c r="H11" s="314"/>
      <c r="I11" s="280"/>
      <c r="J11" s="280"/>
      <c r="K11" s="280"/>
      <c r="L11" t="s" s="506">
        <f>IF(D11="","",_xlfn.IFERROR(IF(I11="","",((I11/1000)*V11*X11)*AD11*AJ11),"This intervention is not permitted within the SSM ▲"))</f>
      </c>
      <c r="M11" t="s" s="506">
        <f>IF(I11="","",IF(J11+K11&gt;I11,"Length Error ▲",I11-J11-K11))</f>
      </c>
      <c r="N11" t="s" s="506">
        <f>_xlfn.IFERROR(IF(I11="","",IF(M11="Length Error ▲","Length Error ▲",((M11/1000)*V11*X11)*AD11*AJ11)),"This intervention is not permitted within the SSM ▲")</f>
      </c>
      <c r="O11" s="312"/>
      <c r="P11" s="284"/>
      <c r="Q11" s="380"/>
      <c r="R11" s="219"/>
      <c r="S11" s="381"/>
      <c r="T11" t="s" s="285">
        <f>IF(D11="","",VLOOKUP(D11,'9. All Habitats + Multipliers'!$C$4:$K$102,5,FALSE))</f>
      </c>
      <c r="U11" s="286"/>
      <c r="V11" t="s" s="313">
        <f>IF(T11="","",VLOOKUP(T11,'11. Lists'!$B$47:$D$49,2,FALSE))</f>
      </c>
      <c r="W11" t="s" s="285">
        <f>IF(D11="","",VLOOKUP(D11,'10. Condition and Temporal'!$B$6:$C$103,2,FALSE))</f>
      </c>
      <c r="X11" t="s" s="313">
        <f>IF(W11="","",VLOOKUP(W11,'11. Lists'!$F$47:$G$51,2,FALSE))</f>
      </c>
      <c r="Y11" s="510"/>
      <c r="Z11" s="511"/>
      <c r="AA11" s="794"/>
      <c r="AB11" t="s" s="291">
        <f>IF(F11="","",F11)</f>
      </c>
      <c r="AC11" t="s" s="291">
        <f>IF(AB11="","",VLOOKUP(AB11,'11. Lists'!$F$36:$H$38,2,FALSE))</f>
      </c>
      <c r="AD11" t="s" s="313">
        <f>IF(AB11="","",VLOOKUP(AB11,'11. Lists'!$F$36:$H$38,3,FALSE))</f>
      </c>
      <c r="AE11" t="s" s="285">
        <f>IF(D11="","",((J11/1000)*V11*X11)*AD11)</f>
      </c>
      <c r="AF11" t="s" s="291">
        <f>IF(D11="","",((K11/1000)*V11*X11)*AD11*AJ11)</f>
      </c>
      <c r="AG11" t="s" s="313">
        <f>IF(D11="","",M11)</f>
      </c>
      <c r="AH11" t="s" s="285">
        <f>IF(T11="","",VLOOKUP(T11,'11. Lists'!$B$47:$D$49,3,FALSE))</f>
      </c>
      <c r="AI11" t="s" s="291">
        <f>IF(D11="","",VLOOKUP(D11,'10. Condition and Temporal'!$B$6:$L$103,4,FALSE))</f>
      </c>
      <c r="AJ11" t="s" s="795">
        <v>327</v>
      </c>
      <c r="AK11" t="s" s="796">
        <v>327</v>
      </c>
      <c r="AL11" s="774"/>
      <c r="AM11" s="774"/>
      <c r="AN11" s="784"/>
      <c r="AO11" s="161"/>
      <c r="AP11" s="161"/>
      <c r="AQ11" s="161"/>
      <c r="AR11" t="s" s="792">
        <f>IF(D11="","",_xlfn.IFERROR(IF(I11="","",((I11/1000)*V11*X11)*AD11),"This intervention is not permitted within the SSM ▲"))</f>
      </c>
      <c r="AS11" s="161"/>
      <c r="AT11" s="161"/>
      <c r="AU11" s="161"/>
      <c r="AV11" s="161"/>
      <c r="AW11" s="161"/>
      <c r="AX11" s="161"/>
      <c r="AY11" s="161"/>
      <c r="AZ11" s="161"/>
      <c r="BA11" s="161"/>
      <c r="BB11" s="161"/>
      <c r="BC11" s="161"/>
      <c r="BD11" s="161"/>
      <c r="BE11" s="161"/>
      <c r="BF11" s="161"/>
      <c r="BG11" s="161"/>
      <c r="BH11" s="161"/>
      <c r="BI11" s="161"/>
      <c r="BJ11" s="161"/>
      <c r="BK11" s="161"/>
      <c r="BL11" s="161"/>
      <c r="BM11" s="161"/>
      <c r="BN11" s="161"/>
      <c r="BO11" s="161"/>
      <c r="BP11" s="161"/>
      <c r="BQ11" s="161"/>
      <c r="BR11" s="161"/>
      <c r="BS11" s="161"/>
      <c r="BT11" s="161"/>
      <c r="BU11" s="161"/>
      <c r="BV11" s="161"/>
      <c r="BW11" s="161"/>
      <c r="BX11" s="664"/>
    </row>
    <row r="12" ht="15.6" customHeight="1">
      <c r="A12" s="379"/>
      <c r="B12" s="296">
        <v>2</v>
      </c>
      <c r="C12" t="s" s="797">
        <v>326</v>
      </c>
      <c r="D12" s="314"/>
      <c r="E12" s="314"/>
      <c r="F12" s="314"/>
      <c r="G12" s="314"/>
      <c r="H12" s="314"/>
      <c r="I12" s="303"/>
      <c r="J12" s="303"/>
      <c r="K12" s="303"/>
      <c r="L12" t="s" s="311">
        <f>IF(D12="","",_xlfn.IFERROR(IF(I12="","",((I12/1000)*V12*X12)*AD12*AJ12),"This intervention is not permitted within the SSM ▲"))</f>
      </c>
      <c r="M12" t="s" s="311">
        <f>IF(I12="","",IF(J12+K12&gt;I12,"Length Error ▲",I12-J12-K12))</f>
      </c>
      <c r="N12" t="s" s="311">
        <f>_xlfn.IFERROR(IF(I12="","",IF(M12="Length Error ▲","Length Error ▲",((M12/1000)*V12*X12)*AD12*AJ12)),"This intervention is not permitted within the SSM ▲")</f>
      </c>
      <c r="O12" s="312"/>
      <c r="P12" s="307"/>
      <c r="Q12" s="380"/>
      <c r="R12" s="219"/>
      <c r="S12" s="381"/>
      <c r="T12" t="s" s="285">
        <f>IF(D12="","",VLOOKUP(D12,'9. All Habitats + Multipliers'!$C$4:$K$102,5,FALSE))</f>
      </c>
      <c r="U12" s="286"/>
      <c r="V12" t="s" s="313">
        <f>IF(T12="","",VLOOKUP(T12,'11. Lists'!$B$47:$D$49,2,FALSE))</f>
      </c>
      <c r="W12" t="s" s="285">
        <f>IF(D12="","",VLOOKUP(D12,'10. Condition and Temporal'!$B$6:$C$103,2,FALSE))</f>
      </c>
      <c r="X12" t="s" s="313">
        <f>IF(W12="","",VLOOKUP(W12,'11. Lists'!$F$47:$G$51,2,FALSE))</f>
      </c>
      <c r="Y12" s="510"/>
      <c r="Z12" s="511"/>
      <c r="AA12" s="794"/>
      <c r="AB12" t="s" s="291">
        <f>IF(F12="","",F12)</f>
      </c>
      <c r="AC12" t="s" s="291">
        <f>IF(AB12="","",VLOOKUP(AB12,'11. Lists'!$F$36:$H$38,2,FALSE))</f>
      </c>
      <c r="AD12" t="s" s="313">
        <f>IF(AB12="","",VLOOKUP(AB12,'11. Lists'!$F$36:$H$38,3,FALSE))</f>
      </c>
      <c r="AE12" t="s" s="285">
        <f>IF(D12="","",((J12/1000)*V12*X12)*AD12)</f>
      </c>
      <c r="AF12" t="s" s="291">
        <f>IF(D12="","",((K12/1000)*V12*X12)*AD12*AJ12)</f>
      </c>
      <c r="AG12" t="s" s="313">
        <f>IF(D12="","",M12)</f>
      </c>
      <c r="AH12" t="s" s="285">
        <f>IF(T12="","",VLOOKUP(T12,'11. Lists'!$B$47:$D$49,3,FALSE))</f>
      </c>
      <c r="AI12" t="s" s="291">
        <f>IF(D12="","",VLOOKUP(D12,'10. Condition and Temporal'!$B$6:$L$103,4,FALSE))</f>
      </c>
      <c r="AJ12" t="s" s="795">
        <v>327</v>
      </c>
      <c r="AK12" t="s" s="796">
        <v>327</v>
      </c>
      <c r="AL12" s="774"/>
      <c r="AM12" s="774"/>
      <c r="AN12" s="784"/>
      <c r="AO12" s="161"/>
      <c r="AP12" s="161"/>
      <c r="AQ12" s="161"/>
      <c r="AR12" t="s" s="792">
        <f>IF(D12="","",_xlfn.IFERROR(IF(I12="","",((I12/1000)*V12*X12)*AD12),"This intervention is not permitted within the SSM ▲"))</f>
      </c>
      <c r="AS12" s="161"/>
      <c r="AT12" s="161"/>
      <c r="AU12" s="161"/>
      <c r="AV12" s="161"/>
      <c r="AW12" s="161"/>
      <c r="AX12" s="161"/>
      <c r="AY12" s="161"/>
      <c r="AZ12" s="161"/>
      <c r="BA12" s="161"/>
      <c r="BB12" s="161"/>
      <c r="BC12" s="161"/>
      <c r="BD12" s="161"/>
      <c r="BE12" s="161"/>
      <c r="BF12" s="161"/>
      <c r="BG12" s="161"/>
      <c r="BH12" s="161"/>
      <c r="BI12" s="161"/>
      <c r="BJ12" s="161"/>
      <c r="BK12" s="161"/>
      <c r="BL12" s="161"/>
      <c r="BM12" s="161"/>
      <c r="BN12" s="161"/>
      <c r="BO12" s="161"/>
      <c r="BP12" s="161"/>
      <c r="BQ12" s="161"/>
      <c r="BR12" s="161"/>
      <c r="BS12" s="161"/>
      <c r="BT12" s="161"/>
      <c r="BU12" s="161"/>
      <c r="BV12" s="161"/>
      <c r="BW12" s="161"/>
      <c r="BX12" s="664"/>
    </row>
    <row r="13" ht="15.6" customHeight="1">
      <c r="A13" s="379"/>
      <c r="B13" s="296">
        <v>3</v>
      </c>
      <c r="C13" t="s" s="797">
        <v>326</v>
      </c>
      <c r="D13" s="314"/>
      <c r="E13" s="314"/>
      <c r="F13" s="314"/>
      <c r="G13" s="314"/>
      <c r="H13" s="314"/>
      <c r="I13" s="303"/>
      <c r="J13" s="303"/>
      <c r="K13" s="303"/>
      <c r="L13" t="s" s="311">
        <f>IF(D13="","",_xlfn.IFERROR(IF(I13="","",((I13/1000)*V13*X13)*AD13*AJ13),"This intervention is not permitted within the SSM ▲"))</f>
      </c>
      <c r="M13" t="s" s="311">
        <f>IF(I13="","",IF(J13+K13&gt;I13,"Length Error ▲",I13-J13-K13))</f>
      </c>
      <c r="N13" t="s" s="311">
        <f>_xlfn.IFERROR(IF(I13="","",IF(M13="Length Error ▲","Length Error ▲",((M13/1000)*V13*X13)*AD13*AJ13)),"This intervention is not permitted within the SSM ▲")</f>
      </c>
      <c r="O13" s="312"/>
      <c r="P13" s="307"/>
      <c r="Q13" s="380"/>
      <c r="R13" s="219"/>
      <c r="S13" s="381"/>
      <c r="T13" t="s" s="285">
        <f>IF(D13="","",VLOOKUP(D13,'9. All Habitats + Multipliers'!$C$4:$K$102,5,FALSE))</f>
      </c>
      <c r="U13" s="286"/>
      <c r="V13" t="s" s="313">
        <f>IF(T13="","",VLOOKUP(T13,'11. Lists'!$B$47:$D$49,2,FALSE))</f>
      </c>
      <c r="W13" t="s" s="285">
        <f>IF(D13="","",VLOOKUP(D13,'10. Condition and Temporal'!$B$6:$C$103,2,FALSE))</f>
      </c>
      <c r="X13" t="s" s="313">
        <f>IF(W13="","",VLOOKUP(W13,'11. Lists'!$F$47:$G$51,2,FALSE))</f>
      </c>
      <c r="Y13" s="510"/>
      <c r="Z13" s="511"/>
      <c r="AA13" s="794"/>
      <c r="AB13" t="s" s="291">
        <f>IF(F13="","",F13)</f>
      </c>
      <c r="AC13" t="s" s="291">
        <f>IF(AB13="","",VLOOKUP(AB13,'11. Lists'!$F$36:$H$38,2,FALSE))</f>
      </c>
      <c r="AD13" t="s" s="313">
        <f>IF(AB13="","",VLOOKUP(AB13,'11. Lists'!$F$36:$H$38,3,FALSE))</f>
      </c>
      <c r="AE13" t="s" s="285">
        <f>IF(D13="","",((J13/1000)*V13*X13)*AD13)</f>
      </c>
      <c r="AF13" t="s" s="291">
        <f>IF(D13="","",((K13/1000)*V13*X13)*AD13*AJ13)</f>
      </c>
      <c r="AG13" t="s" s="313">
        <f>IF(D13="","",M13)</f>
      </c>
      <c r="AH13" t="s" s="285">
        <f>IF(T13="","",VLOOKUP(T13,'11. Lists'!$B$47:$D$49,3,FALSE))</f>
      </c>
      <c r="AI13" t="s" s="291">
        <f>IF(D13="","",VLOOKUP(D13,'10. Condition and Temporal'!$B$6:$L$103,4,FALSE))</f>
      </c>
      <c r="AJ13" t="s" s="795">
        <v>327</v>
      </c>
      <c r="AK13" t="s" s="796">
        <v>327</v>
      </c>
      <c r="AL13" s="774"/>
      <c r="AM13" s="774"/>
      <c r="AN13" s="784"/>
      <c r="AO13" s="161"/>
      <c r="AP13" s="161"/>
      <c r="AQ13" s="161"/>
      <c r="AR13" t="s" s="792">
        <f>IF(D13="","",_xlfn.IFERROR(IF(I13="","",((I13/1000)*V13*X13)*AD13),"This intervention is not permitted within the SSM ▲"))</f>
      </c>
      <c r="AS13" s="161"/>
      <c r="AT13" s="161"/>
      <c r="AU13" s="161"/>
      <c r="AV13" s="161"/>
      <c r="AW13" s="161"/>
      <c r="AX13" s="161"/>
      <c r="AY13" s="161"/>
      <c r="AZ13" s="161"/>
      <c r="BA13" s="161"/>
      <c r="BB13" s="161"/>
      <c r="BC13" s="161"/>
      <c r="BD13" s="161"/>
      <c r="BE13" s="161"/>
      <c r="BF13" s="161"/>
      <c r="BG13" s="161"/>
      <c r="BH13" s="161"/>
      <c r="BI13" s="161"/>
      <c r="BJ13" s="161"/>
      <c r="BK13" s="161"/>
      <c r="BL13" s="161"/>
      <c r="BM13" s="161"/>
      <c r="BN13" s="161"/>
      <c r="BO13" s="161"/>
      <c r="BP13" s="161"/>
      <c r="BQ13" s="161"/>
      <c r="BR13" s="161"/>
      <c r="BS13" s="161"/>
      <c r="BT13" s="161"/>
      <c r="BU13" s="161"/>
      <c r="BV13" s="161"/>
      <c r="BW13" s="161"/>
      <c r="BX13" s="664"/>
    </row>
    <row r="14" ht="15.6" customHeight="1">
      <c r="A14" s="379"/>
      <c r="B14" s="296">
        <v>4</v>
      </c>
      <c r="C14" t="s" s="797">
        <v>326</v>
      </c>
      <c r="D14" s="314"/>
      <c r="E14" s="314"/>
      <c r="F14" s="314"/>
      <c r="G14" s="314"/>
      <c r="H14" s="314"/>
      <c r="I14" s="303"/>
      <c r="J14" s="303"/>
      <c r="K14" s="303"/>
      <c r="L14" t="s" s="311">
        <f>IF(D14="","",_xlfn.IFERROR(IF(I14="","",((I14/1000)*V14*X14)*AD14*AJ14),"This intervention is not permitted within the SSM ▲"))</f>
      </c>
      <c r="M14" t="s" s="311">
        <f>IF(I14="","",IF(J14+K14&gt;I14,"Length Error ▲",I14-J14-K14))</f>
      </c>
      <c r="N14" t="s" s="311">
        <f>_xlfn.IFERROR(IF(I14="","",IF(M14="Length Error ▲","Length Error ▲",((M14/1000)*V14*X14)*AD14*AJ14)),"This intervention is not permitted within the SSM ▲")</f>
      </c>
      <c r="O14" s="312"/>
      <c r="P14" s="307"/>
      <c r="Q14" s="380"/>
      <c r="R14" s="219"/>
      <c r="S14" s="381"/>
      <c r="T14" t="s" s="285">
        <f>IF(D14="","",VLOOKUP(D14,'9. All Habitats + Multipliers'!$C$4:$K$102,5,FALSE))</f>
      </c>
      <c r="U14" s="286"/>
      <c r="V14" t="s" s="313">
        <f>IF(T14="","",VLOOKUP(T14,'11. Lists'!$B$47:$D$49,2,FALSE))</f>
      </c>
      <c r="W14" t="s" s="285">
        <f>IF(D14="","",VLOOKUP(D14,'10. Condition and Temporal'!$B$6:$C$103,2,FALSE))</f>
      </c>
      <c r="X14" t="s" s="313">
        <f>IF(W14="","",VLOOKUP(W14,'11. Lists'!$F$47:$G$51,2,FALSE))</f>
      </c>
      <c r="Y14" s="510"/>
      <c r="Z14" s="511"/>
      <c r="AA14" s="794"/>
      <c r="AB14" t="s" s="291">
        <f>IF(F14="","",F14)</f>
      </c>
      <c r="AC14" t="s" s="291">
        <f>IF(AB14="","",VLOOKUP(AB14,'11. Lists'!$F$36:$H$38,2,FALSE))</f>
      </c>
      <c r="AD14" t="s" s="313">
        <f>IF(AB14="","",VLOOKUP(AB14,'11. Lists'!$F$36:$H$38,3,FALSE))</f>
      </c>
      <c r="AE14" t="s" s="285">
        <f>IF(D14="","",((J14/1000)*V14*X14)*AD14)</f>
      </c>
      <c r="AF14" t="s" s="291">
        <f>IF(D14="","",((K14/1000)*V14*X14)*AD14*AJ14)</f>
      </c>
      <c r="AG14" t="s" s="313">
        <f>IF(D14="","",M14)</f>
      </c>
      <c r="AH14" t="s" s="285">
        <f>IF(T14="","",VLOOKUP(T14,'11. Lists'!$B$47:$D$49,3,FALSE))</f>
      </c>
      <c r="AI14" t="s" s="291">
        <f>IF(D14="","",VLOOKUP(D14,'10. Condition and Temporal'!$B$6:$L$103,4,FALSE))</f>
      </c>
      <c r="AJ14" t="s" s="795">
        <v>327</v>
      </c>
      <c r="AK14" t="s" s="796">
        <v>327</v>
      </c>
      <c r="AL14" s="774"/>
      <c r="AM14" s="774"/>
      <c r="AN14" s="784"/>
      <c r="AO14" s="161"/>
      <c r="AP14" s="161"/>
      <c r="AQ14" s="161"/>
      <c r="AR14" t="s" s="792">
        <f>IF(D14="","",_xlfn.IFERROR(IF(I14="","",((I14/1000)*V14*X14)*AD14),"This intervention is not permitted within the SSM ▲"))</f>
      </c>
      <c r="AS14" s="161"/>
      <c r="AT14" s="161"/>
      <c r="AU14" s="161"/>
      <c r="AV14" s="161"/>
      <c r="AW14" s="161"/>
      <c r="AX14" s="161"/>
      <c r="AY14" s="161"/>
      <c r="AZ14" s="161"/>
      <c r="BA14" s="161"/>
      <c r="BB14" s="161"/>
      <c r="BC14" s="161"/>
      <c r="BD14" s="161"/>
      <c r="BE14" s="161"/>
      <c r="BF14" s="161"/>
      <c r="BG14" s="161"/>
      <c r="BH14" s="161"/>
      <c r="BI14" s="161"/>
      <c r="BJ14" s="161"/>
      <c r="BK14" s="161"/>
      <c r="BL14" s="161"/>
      <c r="BM14" s="161"/>
      <c r="BN14" s="161"/>
      <c r="BO14" s="161"/>
      <c r="BP14" s="161"/>
      <c r="BQ14" s="161"/>
      <c r="BR14" s="161"/>
      <c r="BS14" s="161"/>
      <c r="BT14" s="161"/>
      <c r="BU14" s="161"/>
      <c r="BV14" s="161"/>
      <c r="BW14" s="161"/>
      <c r="BX14" s="664"/>
    </row>
    <row r="15" ht="15.6" customHeight="1">
      <c r="A15" s="379"/>
      <c r="B15" s="296">
        <v>5</v>
      </c>
      <c r="C15" t="s" s="797">
        <v>326</v>
      </c>
      <c r="D15" s="314"/>
      <c r="E15" s="314"/>
      <c r="F15" s="314"/>
      <c r="G15" s="314"/>
      <c r="H15" s="314"/>
      <c r="I15" s="303"/>
      <c r="J15" s="303"/>
      <c r="K15" s="303"/>
      <c r="L15" t="s" s="311">
        <f>IF(D15="","",_xlfn.IFERROR(IF(I15="","",((I15/1000)*V15*X15)*AD15*AJ15),"This intervention is not permitted within the SSM ▲"))</f>
      </c>
      <c r="M15" t="s" s="311">
        <f>IF(I15="","",IF(J15+K15&gt;I15,"Length Error ▲",I15-J15-K15))</f>
      </c>
      <c r="N15" t="s" s="311">
        <f>_xlfn.IFERROR(IF(I15="","",IF(M15="Length Error ▲","Length Error ▲",((M15/1000)*V15*X15)*AD15*AJ15)),"This intervention is not permitted within the SSM ▲")</f>
      </c>
      <c r="O15" s="312"/>
      <c r="P15" s="307"/>
      <c r="Q15" s="380"/>
      <c r="R15" s="219"/>
      <c r="S15" s="381"/>
      <c r="T15" t="s" s="285">
        <f>IF(D15="","",VLOOKUP(D15,'9. All Habitats + Multipliers'!$C$4:$K$102,5,FALSE))</f>
      </c>
      <c r="U15" s="286"/>
      <c r="V15" t="s" s="313">
        <f>IF(T15="","",VLOOKUP(T15,'11. Lists'!$B$47:$D$49,2,FALSE))</f>
      </c>
      <c r="W15" t="s" s="285">
        <f>IF(D15="","",VLOOKUP(D15,'10. Condition and Temporal'!$B$6:$C$103,2,FALSE))</f>
      </c>
      <c r="X15" t="s" s="313">
        <f>IF(W15="","",VLOOKUP(W15,'11. Lists'!$F$47:$G$51,2,FALSE))</f>
      </c>
      <c r="Y15" s="510"/>
      <c r="Z15" s="511"/>
      <c r="AA15" s="794"/>
      <c r="AB15" t="s" s="291">
        <f>IF(F15="","",F15)</f>
      </c>
      <c r="AC15" t="s" s="291">
        <f>IF(AB15="","",VLOOKUP(AB15,'11. Lists'!$F$36:$H$38,2,FALSE))</f>
      </c>
      <c r="AD15" t="s" s="313">
        <f>IF(AB15="","",VLOOKUP(AB15,'11. Lists'!$F$36:$H$38,3,FALSE))</f>
      </c>
      <c r="AE15" t="s" s="285">
        <f>IF(D15="","",((J15/1000)*V15*X15)*AD15)</f>
      </c>
      <c r="AF15" t="s" s="291">
        <f>IF(D15="","",((K15/1000)*V15*X15)*AD15*AJ15)</f>
      </c>
      <c r="AG15" t="s" s="313">
        <f>IF(D15="","",M15)</f>
      </c>
      <c r="AH15" t="s" s="285">
        <f>IF(T15="","",VLOOKUP(T15,'11. Lists'!$B$47:$D$49,3,FALSE))</f>
      </c>
      <c r="AI15" t="s" s="291">
        <f>IF(D15="","",VLOOKUP(D15,'10. Condition and Temporal'!$B$6:$L$103,4,FALSE))</f>
      </c>
      <c r="AJ15" t="s" s="795">
        <v>327</v>
      </c>
      <c r="AK15" t="s" s="796">
        <v>327</v>
      </c>
      <c r="AL15" s="774"/>
      <c r="AM15" s="774"/>
      <c r="AN15" s="784"/>
      <c r="AO15" s="161"/>
      <c r="AP15" s="161"/>
      <c r="AQ15" s="161"/>
      <c r="AR15" t="s" s="792">
        <f>IF(D15="","",_xlfn.IFERROR(IF(I15="","",((I15/1000)*V15*X15)*AD15),"This intervention is not permitted within the SSM ▲"))</f>
      </c>
      <c r="AS15" s="161"/>
      <c r="AT15" s="161"/>
      <c r="AU15" s="161"/>
      <c r="AV15" s="161"/>
      <c r="AW15" s="161"/>
      <c r="AX15" s="161"/>
      <c r="AY15" s="161"/>
      <c r="AZ15" s="161"/>
      <c r="BA15" s="161"/>
      <c r="BB15" s="161"/>
      <c r="BC15" s="161"/>
      <c r="BD15" s="161"/>
      <c r="BE15" s="161"/>
      <c r="BF15" s="161"/>
      <c r="BG15" s="161"/>
      <c r="BH15" s="161"/>
      <c r="BI15" s="161"/>
      <c r="BJ15" s="161"/>
      <c r="BK15" s="161"/>
      <c r="BL15" s="161"/>
      <c r="BM15" s="161"/>
      <c r="BN15" s="161"/>
      <c r="BO15" s="161"/>
      <c r="BP15" s="161"/>
      <c r="BQ15" s="161"/>
      <c r="BR15" s="161"/>
      <c r="BS15" s="161"/>
      <c r="BT15" s="161"/>
      <c r="BU15" s="161"/>
      <c r="BV15" s="161"/>
      <c r="BW15" s="161"/>
      <c r="BX15" s="664"/>
    </row>
    <row r="16" ht="15.6" customHeight="1">
      <c r="A16" s="379"/>
      <c r="B16" s="296">
        <v>6</v>
      </c>
      <c r="C16" t="s" s="797">
        <v>326</v>
      </c>
      <c r="D16" s="314"/>
      <c r="E16" s="314"/>
      <c r="F16" s="314"/>
      <c r="G16" s="314"/>
      <c r="H16" s="314"/>
      <c r="I16" s="303"/>
      <c r="J16" s="303"/>
      <c r="K16" s="303"/>
      <c r="L16" t="s" s="311">
        <f>IF(D16="","",_xlfn.IFERROR(IF(I16="","",((I16/1000)*V16*X16)*AD16*AJ16),"This intervention is not permitted within the SSM ▲"))</f>
      </c>
      <c r="M16" t="s" s="311">
        <f>IF(I16="","",IF(J16+K16&gt;I16,"Length Error ▲",I16-J16-K16))</f>
      </c>
      <c r="N16" t="s" s="311">
        <f>_xlfn.IFERROR(IF(I16="","",IF(M16="Length Error ▲","Length Error ▲",((M16/1000)*V16*X16)*AD16*AJ16)),"This intervention is not permitted within the SSM ▲")</f>
      </c>
      <c r="O16" s="312"/>
      <c r="P16" s="307"/>
      <c r="Q16" s="380"/>
      <c r="R16" s="219"/>
      <c r="S16" s="381"/>
      <c r="T16" t="s" s="285">
        <f>IF(D16="","",VLOOKUP(D16,'9. All Habitats + Multipliers'!$C$4:$K$102,5,FALSE))</f>
      </c>
      <c r="U16" s="286"/>
      <c r="V16" t="s" s="313">
        <f>IF(T16="","",VLOOKUP(T16,'11. Lists'!$B$47:$D$49,2,FALSE))</f>
      </c>
      <c r="W16" t="s" s="285">
        <f>IF(D16="","",VLOOKUP(D16,'10. Condition and Temporal'!$B$6:$C$103,2,FALSE))</f>
      </c>
      <c r="X16" t="s" s="313">
        <f>IF(W16="","",VLOOKUP(W16,'11. Lists'!$F$47:$G$51,2,FALSE))</f>
      </c>
      <c r="Y16" s="510"/>
      <c r="Z16" s="511"/>
      <c r="AA16" s="794"/>
      <c r="AB16" t="s" s="291">
        <f>IF(F16="","",F16)</f>
      </c>
      <c r="AC16" t="s" s="291">
        <f>IF(AB16="","",VLOOKUP(AB16,'11. Lists'!$F$36:$H$38,2,FALSE))</f>
      </c>
      <c r="AD16" t="s" s="313">
        <f>IF(AB16="","",VLOOKUP(AB16,'11. Lists'!$F$36:$H$38,3,FALSE))</f>
      </c>
      <c r="AE16" t="s" s="285">
        <f>IF(D16="","",((J16/1000)*V16*X16)*AD16)</f>
      </c>
      <c r="AF16" t="s" s="291">
        <f>IF(D16="","",((K16/1000)*V16*X16)*AD16*AJ16)</f>
      </c>
      <c r="AG16" t="s" s="313">
        <f>IF(D16="","",M16)</f>
      </c>
      <c r="AH16" t="s" s="285">
        <f>IF(T16="","",VLOOKUP(T16,'11. Lists'!$B$47:$D$49,3,FALSE))</f>
      </c>
      <c r="AI16" t="s" s="291">
        <f>IF(D16="","",VLOOKUP(D16,'10. Condition and Temporal'!$B$6:$L$103,4,FALSE))</f>
      </c>
      <c r="AJ16" t="s" s="795">
        <v>327</v>
      </c>
      <c r="AK16" t="s" s="796">
        <v>327</v>
      </c>
      <c r="AL16" s="774"/>
      <c r="AM16" s="774"/>
      <c r="AN16" s="784"/>
      <c r="AO16" s="161"/>
      <c r="AP16" s="161"/>
      <c r="AQ16" s="161"/>
      <c r="AR16" t="s" s="792">
        <f>IF(D16="","",_xlfn.IFERROR(IF(I16="","",((I16/1000)*V16*X16)*AD16),"This intervention is not permitted within the SSM ▲"))</f>
      </c>
      <c r="AS16" s="161"/>
      <c r="AT16" s="161"/>
      <c r="AU16" s="161"/>
      <c r="AV16" s="161"/>
      <c r="AW16" s="161"/>
      <c r="AX16" s="161"/>
      <c r="AY16" s="161"/>
      <c r="AZ16" s="161"/>
      <c r="BA16" s="161"/>
      <c r="BB16" s="161"/>
      <c r="BC16" s="161"/>
      <c r="BD16" s="161"/>
      <c r="BE16" s="161"/>
      <c r="BF16" s="161"/>
      <c r="BG16" s="161"/>
      <c r="BH16" s="161"/>
      <c r="BI16" s="161"/>
      <c r="BJ16" s="161"/>
      <c r="BK16" s="161"/>
      <c r="BL16" s="161"/>
      <c r="BM16" s="161"/>
      <c r="BN16" s="161"/>
      <c r="BO16" s="161"/>
      <c r="BP16" s="161"/>
      <c r="BQ16" s="161"/>
      <c r="BR16" s="161"/>
      <c r="BS16" s="161"/>
      <c r="BT16" s="161"/>
      <c r="BU16" s="161"/>
      <c r="BV16" s="161"/>
      <c r="BW16" s="161"/>
      <c r="BX16" s="664"/>
    </row>
    <row r="17" ht="15.6" customHeight="1">
      <c r="A17" s="379"/>
      <c r="B17" s="296">
        <v>7</v>
      </c>
      <c r="C17" t="s" s="797">
        <v>326</v>
      </c>
      <c r="D17" s="314"/>
      <c r="E17" s="314"/>
      <c r="F17" s="314"/>
      <c r="G17" s="314"/>
      <c r="H17" s="314"/>
      <c r="I17" s="303"/>
      <c r="J17" s="303"/>
      <c r="K17" s="303"/>
      <c r="L17" t="s" s="311">
        <f>IF(D17="","",_xlfn.IFERROR(IF(I17="","",((I17/1000)*V17*X17)*AD17*AJ17),"This intervention is not permitted within the SSM ▲"))</f>
      </c>
      <c r="M17" t="s" s="311">
        <f>IF(I17="","",IF(J17+K17&gt;I17,"Length Error ▲",I17-J17-K17))</f>
      </c>
      <c r="N17" t="s" s="311">
        <f>_xlfn.IFERROR(IF(I17="","",IF(M17="Length Error ▲","Length Error ▲",((M17/1000)*V17*X17)*AD17*AJ17)),"This intervention is not permitted within the SSM ▲")</f>
      </c>
      <c r="O17" s="312"/>
      <c r="P17" s="307"/>
      <c r="Q17" s="380"/>
      <c r="R17" s="219"/>
      <c r="S17" s="381"/>
      <c r="T17" t="s" s="285">
        <f>IF(D17="","",VLOOKUP(D17,'9. All Habitats + Multipliers'!$C$4:$K$102,5,FALSE))</f>
      </c>
      <c r="U17" s="286"/>
      <c r="V17" t="s" s="313">
        <f>IF(T17="","",VLOOKUP(T17,'11. Lists'!$B$47:$D$49,2,FALSE))</f>
      </c>
      <c r="W17" t="s" s="285">
        <f>IF(D17="","",VLOOKUP(D17,'10. Condition and Temporal'!$B$6:$C$103,2,FALSE))</f>
      </c>
      <c r="X17" t="s" s="313">
        <f>IF(W17="","",VLOOKUP(W17,'11. Lists'!$F$47:$G$51,2,FALSE))</f>
      </c>
      <c r="Y17" s="510"/>
      <c r="Z17" s="511"/>
      <c r="AA17" s="794"/>
      <c r="AB17" t="s" s="291">
        <f>IF(F17="","",F17)</f>
      </c>
      <c r="AC17" t="s" s="291">
        <f>IF(AB17="","",VLOOKUP(AB17,'11. Lists'!$F$36:$H$38,2,FALSE))</f>
      </c>
      <c r="AD17" t="s" s="313">
        <f>IF(AB17="","",VLOOKUP(AB17,'11. Lists'!$F$36:$H$38,3,FALSE))</f>
      </c>
      <c r="AE17" t="s" s="285">
        <f>IF(D17="","",((J17/1000)*V17*X17)*AD17)</f>
      </c>
      <c r="AF17" t="s" s="291">
        <f>IF(D17="","",((K17/1000)*V17*X17)*AD17*AJ17)</f>
      </c>
      <c r="AG17" t="s" s="313">
        <f>IF(D17="","",M17)</f>
      </c>
      <c r="AH17" t="s" s="285">
        <f>IF(T17="","",VLOOKUP(T17,'11. Lists'!$B$47:$D$49,3,FALSE))</f>
      </c>
      <c r="AI17" t="s" s="291">
        <f>IF(D17="","",VLOOKUP(D17,'10. Condition and Temporal'!$B$6:$L$103,4,FALSE))</f>
      </c>
      <c r="AJ17" t="s" s="795">
        <v>327</v>
      </c>
      <c r="AK17" t="s" s="796">
        <v>327</v>
      </c>
      <c r="AL17" s="774"/>
      <c r="AM17" s="774"/>
      <c r="AN17" s="784"/>
      <c r="AO17" s="161"/>
      <c r="AP17" s="161"/>
      <c r="AQ17" s="161"/>
      <c r="AR17" t="s" s="792">
        <f>IF(D17="","",_xlfn.IFERROR(IF(I17="","",((I17/1000)*V17*X17)*AD17),"This intervention is not permitted within the SSM ▲"))</f>
      </c>
      <c r="AS17" s="161"/>
      <c r="AT17" s="161"/>
      <c r="AU17" s="161"/>
      <c r="AV17" s="161"/>
      <c r="AW17" s="161"/>
      <c r="AX17" s="161"/>
      <c r="AY17" s="161"/>
      <c r="AZ17" s="161"/>
      <c r="BA17" s="161"/>
      <c r="BB17" s="161"/>
      <c r="BC17" s="161"/>
      <c r="BD17" s="161"/>
      <c r="BE17" s="161"/>
      <c r="BF17" s="161"/>
      <c r="BG17" s="161"/>
      <c r="BH17" s="161"/>
      <c r="BI17" s="161"/>
      <c r="BJ17" s="161"/>
      <c r="BK17" s="161"/>
      <c r="BL17" s="161"/>
      <c r="BM17" s="161"/>
      <c r="BN17" s="161"/>
      <c r="BO17" s="161"/>
      <c r="BP17" s="161"/>
      <c r="BQ17" s="161"/>
      <c r="BR17" s="161"/>
      <c r="BS17" s="161"/>
      <c r="BT17" s="161"/>
      <c r="BU17" s="161"/>
      <c r="BV17" s="161"/>
      <c r="BW17" s="161"/>
      <c r="BX17" s="664"/>
    </row>
    <row r="18" ht="15.6" customHeight="1">
      <c r="A18" s="379"/>
      <c r="B18" s="296">
        <v>8</v>
      </c>
      <c r="C18" t="s" s="797">
        <v>326</v>
      </c>
      <c r="D18" s="314"/>
      <c r="E18" s="314"/>
      <c r="F18" s="314"/>
      <c r="G18" s="314"/>
      <c r="H18" s="314"/>
      <c r="I18" s="303"/>
      <c r="J18" s="303"/>
      <c r="K18" s="303"/>
      <c r="L18" t="s" s="311">
        <f>IF(D18="","",_xlfn.IFERROR(IF(I18="","",((I18/1000)*V18*X18)*AD18*AJ18),"This intervention is not permitted within the SSM ▲"))</f>
      </c>
      <c r="M18" t="s" s="311">
        <f>IF(I18="","",IF(J18+K18&gt;I18,"Length Error ▲",I18-J18-K18))</f>
      </c>
      <c r="N18" t="s" s="311">
        <f>_xlfn.IFERROR(IF(I18="","",IF(M18="Length Error ▲","Length Error ▲",((M18/1000)*V18*X18)*AD18*AJ18)),"This intervention is not permitted within the SSM ▲")</f>
      </c>
      <c r="O18" s="312"/>
      <c r="P18" s="307"/>
      <c r="Q18" s="380"/>
      <c r="R18" s="219"/>
      <c r="S18" s="381"/>
      <c r="T18" t="s" s="285">
        <f>IF(D18="","",VLOOKUP(D18,'9. All Habitats + Multipliers'!$C$4:$K$102,5,FALSE))</f>
      </c>
      <c r="U18" s="286"/>
      <c r="V18" t="s" s="313">
        <f>IF(T18="","",VLOOKUP(T18,'11. Lists'!$B$47:$D$49,2,FALSE))</f>
      </c>
      <c r="W18" t="s" s="285">
        <f>IF(D18="","",VLOOKUP(D18,'10. Condition and Temporal'!$B$6:$C$103,2,FALSE))</f>
      </c>
      <c r="X18" t="s" s="313">
        <f>IF(W18="","",VLOOKUP(W18,'11. Lists'!$F$47:$G$51,2,FALSE))</f>
      </c>
      <c r="Y18" s="510"/>
      <c r="Z18" s="511"/>
      <c r="AA18" s="794"/>
      <c r="AB18" t="s" s="291">
        <f>IF(F18="","",F18)</f>
      </c>
      <c r="AC18" t="s" s="291">
        <f>IF(AB18="","",VLOOKUP(AB18,'11. Lists'!$F$36:$H$38,2,FALSE))</f>
      </c>
      <c r="AD18" t="s" s="313">
        <f>IF(AB18="","",VLOOKUP(AB18,'11. Lists'!$F$36:$H$38,3,FALSE))</f>
      </c>
      <c r="AE18" t="s" s="285">
        <f>IF(D18="","",((J18/1000)*V18*X18)*AD18)</f>
      </c>
      <c r="AF18" t="s" s="291">
        <f>IF(D18="","",((K18/1000)*V18*X18)*AD18*AJ18)</f>
      </c>
      <c r="AG18" t="s" s="313">
        <f>IF(D18="","",M18)</f>
      </c>
      <c r="AH18" t="s" s="285">
        <f>IF(T18="","",VLOOKUP(T18,'11. Lists'!$B$47:$D$49,3,FALSE))</f>
      </c>
      <c r="AI18" t="s" s="291">
        <f>IF(D18="","",VLOOKUP(D18,'10. Condition and Temporal'!$B$6:$L$103,4,FALSE))</f>
      </c>
      <c r="AJ18" t="s" s="795">
        <v>327</v>
      </c>
      <c r="AK18" t="s" s="796">
        <v>327</v>
      </c>
      <c r="AL18" s="774"/>
      <c r="AM18" s="774"/>
      <c r="AN18" s="784"/>
      <c r="AO18" s="161"/>
      <c r="AP18" s="161"/>
      <c r="AQ18" s="161"/>
      <c r="AR18" t="s" s="792">
        <f>IF(D18="","",_xlfn.IFERROR(IF(I18="","",((I18/1000)*V18*X18)*AD18),"This intervention is not permitted within the SSM ▲"))</f>
      </c>
      <c r="AS18" s="161"/>
      <c r="AT18" s="161"/>
      <c r="AU18" s="161"/>
      <c r="AV18" s="161"/>
      <c r="AW18" s="161"/>
      <c r="AX18" s="161"/>
      <c r="AY18" s="161"/>
      <c r="AZ18" s="161"/>
      <c r="BA18" s="161"/>
      <c r="BB18" s="161"/>
      <c r="BC18" s="161"/>
      <c r="BD18" s="161"/>
      <c r="BE18" s="161"/>
      <c r="BF18" s="161"/>
      <c r="BG18" s="161"/>
      <c r="BH18" s="161"/>
      <c r="BI18" s="161"/>
      <c r="BJ18" s="161"/>
      <c r="BK18" s="161"/>
      <c r="BL18" s="161"/>
      <c r="BM18" s="161"/>
      <c r="BN18" s="161"/>
      <c r="BO18" s="161"/>
      <c r="BP18" s="161"/>
      <c r="BQ18" s="161"/>
      <c r="BR18" s="161"/>
      <c r="BS18" s="161"/>
      <c r="BT18" s="161"/>
      <c r="BU18" s="161"/>
      <c r="BV18" s="161"/>
      <c r="BW18" s="161"/>
      <c r="BX18" s="664"/>
    </row>
    <row r="19" ht="15.6" customHeight="1">
      <c r="A19" s="379"/>
      <c r="B19" s="296">
        <v>9</v>
      </c>
      <c r="C19" t="s" s="797">
        <v>326</v>
      </c>
      <c r="D19" s="314"/>
      <c r="E19" s="314"/>
      <c r="F19" s="314"/>
      <c r="G19" s="314"/>
      <c r="H19" s="314"/>
      <c r="I19" s="303"/>
      <c r="J19" s="303"/>
      <c r="K19" s="303"/>
      <c r="L19" t="s" s="311">
        <f>IF(D19="","",_xlfn.IFERROR(IF(I19="","",((I19/1000)*V19*X19)*AD19*AJ19),"This intervention is not permitted within the SSM ▲"))</f>
      </c>
      <c r="M19" t="s" s="311">
        <f>IF(I19="","",IF(J19+K19&gt;I19,"Length Error ▲",I19-J19-K19))</f>
      </c>
      <c r="N19" t="s" s="311">
        <f>_xlfn.IFERROR(IF(I19="","",IF(M19="Length Error ▲","Length Error ▲",((M19/1000)*V19*X19)*AD19*AJ19)),"This intervention is not permitted within the SSM ▲")</f>
      </c>
      <c r="O19" s="312"/>
      <c r="P19" s="307"/>
      <c r="Q19" s="380"/>
      <c r="R19" s="219"/>
      <c r="S19" s="381"/>
      <c r="T19" t="s" s="285">
        <f>IF(D19="","",VLOOKUP(D19,'9. All Habitats + Multipliers'!$C$4:$K$102,5,FALSE))</f>
      </c>
      <c r="U19" s="286"/>
      <c r="V19" t="s" s="313">
        <f>IF(T19="","",VLOOKUP(T19,'11. Lists'!$B$47:$D$49,2,FALSE))</f>
      </c>
      <c r="W19" t="s" s="285">
        <f>IF(D19="","",VLOOKUP(D19,'10. Condition and Temporal'!$B$6:$C$103,2,FALSE))</f>
      </c>
      <c r="X19" t="s" s="313">
        <f>IF(W19="","",VLOOKUP(W19,'11. Lists'!$F$47:$G$51,2,FALSE))</f>
      </c>
      <c r="Y19" s="510"/>
      <c r="Z19" s="511"/>
      <c r="AA19" s="794"/>
      <c r="AB19" t="s" s="291">
        <f>IF(F19="","",F19)</f>
      </c>
      <c r="AC19" t="s" s="291">
        <f>IF(AB19="","",VLOOKUP(AB19,'11. Lists'!$F$36:$H$38,2,FALSE))</f>
      </c>
      <c r="AD19" t="s" s="313">
        <f>IF(AB19="","",VLOOKUP(AB19,'11. Lists'!$F$36:$H$38,3,FALSE))</f>
      </c>
      <c r="AE19" t="s" s="285">
        <f>IF(D19="","",((J19/1000)*V19*X19)*AD19)</f>
      </c>
      <c r="AF19" t="s" s="291">
        <f>IF(D19="","",((K19/1000)*V19*X19)*AD19*AJ19)</f>
      </c>
      <c r="AG19" t="s" s="313">
        <f>IF(D19="","",M19)</f>
      </c>
      <c r="AH19" t="s" s="285">
        <f>IF(T19="","",VLOOKUP(T19,'11. Lists'!$B$47:$D$49,3,FALSE))</f>
      </c>
      <c r="AI19" t="s" s="291">
        <f>IF(D19="","",VLOOKUP(D19,'10. Condition and Temporal'!$B$6:$L$103,4,FALSE))</f>
      </c>
      <c r="AJ19" t="s" s="795">
        <v>327</v>
      </c>
      <c r="AK19" t="s" s="796">
        <v>327</v>
      </c>
      <c r="AL19" s="774"/>
      <c r="AM19" s="774"/>
      <c r="AN19" s="784"/>
      <c r="AO19" s="161"/>
      <c r="AP19" s="161"/>
      <c r="AQ19" s="161"/>
      <c r="AR19" t="s" s="792">
        <f>IF(D19="","",_xlfn.IFERROR(IF(I19="","",((I19/1000)*V19*X19)*AD19),"This intervention is not permitted within the SSM ▲"))</f>
      </c>
      <c r="AS19" s="161"/>
      <c r="AT19" s="161"/>
      <c r="AU19" s="161"/>
      <c r="AV19" s="161"/>
      <c r="AW19" s="161"/>
      <c r="AX19" s="161"/>
      <c r="AY19" s="161"/>
      <c r="AZ19" s="161"/>
      <c r="BA19" s="161"/>
      <c r="BB19" s="161"/>
      <c r="BC19" s="161"/>
      <c r="BD19" s="161"/>
      <c r="BE19" s="161"/>
      <c r="BF19" s="161"/>
      <c r="BG19" s="161"/>
      <c r="BH19" s="161"/>
      <c r="BI19" s="161"/>
      <c r="BJ19" s="161"/>
      <c r="BK19" s="161"/>
      <c r="BL19" s="161"/>
      <c r="BM19" s="161"/>
      <c r="BN19" s="161"/>
      <c r="BO19" s="161"/>
      <c r="BP19" s="161"/>
      <c r="BQ19" s="161"/>
      <c r="BR19" s="161"/>
      <c r="BS19" s="161"/>
      <c r="BT19" s="161"/>
      <c r="BU19" s="161"/>
      <c r="BV19" s="161"/>
      <c r="BW19" s="161"/>
      <c r="BX19" s="664"/>
    </row>
    <row r="20" ht="15.6" customHeight="1">
      <c r="A20" s="379"/>
      <c r="B20" s="296">
        <v>10</v>
      </c>
      <c r="C20" t="s" s="797">
        <v>326</v>
      </c>
      <c r="D20" s="314"/>
      <c r="E20" s="314"/>
      <c r="F20" s="314"/>
      <c r="G20" s="314"/>
      <c r="H20" s="314"/>
      <c r="I20" s="303"/>
      <c r="J20" s="303"/>
      <c r="K20" s="303"/>
      <c r="L20" t="s" s="311">
        <f>IF(D20="","",_xlfn.IFERROR(IF(I20="","",((I20/1000)*V20*X20)*AD20*AJ20),"This intervention is not permitted within the SSM ▲"))</f>
      </c>
      <c r="M20" t="s" s="311">
        <f>IF(I20="","",IF(J20+K20&gt;I20,"Length Error ▲",I20-J20-K20))</f>
      </c>
      <c r="N20" t="s" s="311">
        <f>_xlfn.IFERROR(IF(I20="","",IF(M20="Length Error ▲","Length Error ▲",((M20/1000)*V20*X20)*AD20*AJ20)),"This intervention is not permitted within the SSM ▲")</f>
      </c>
      <c r="O20" s="312"/>
      <c r="P20" s="307"/>
      <c r="Q20" s="380"/>
      <c r="R20" s="219"/>
      <c r="S20" s="381"/>
      <c r="T20" t="s" s="285">
        <f>IF(D20="","",VLOOKUP(D20,'9. All Habitats + Multipliers'!$C$4:$K$102,5,FALSE))</f>
      </c>
      <c r="U20" s="286"/>
      <c r="V20" t="s" s="313">
        <f>IF(T20="","",VLOOKUP(T20,'11. Lists'!$B$47:$D$49,2,FALSE))</f>
      </c>
      <c r="W20" t="s" s="285">
        <f>IF(D20="","",VLOOKUP(D20,'10. Condition and Temporal'!$B$6:$C$103,2,FALSE))</f>
      </c>
      <c r="X20" t="s" s="313">
        <f>IF(W20="","",VLOOKUP(W20,'11. Lists'!$F$47:$G$51,2,FALSE))</f>
      </c>
      <c r="Y20" s="510"/>
      <c r="Z20" s="511"/>
      <c r="AA20" s="794"/>
      <c r="AB20" t="s" s="291">
        <f>IF(F20="","",F20)</f>
      </c>
      <c r="AC20" t="s" s="291">
        <f>IF(AB20="","",VLOOKUP(AB20,'11. Lists'!$F$36:$H$38,2,FALSE))</f>
      </c>
      <c r="AD20" t="s" s="313">
        <f>IF(AB20="","",VLOOKUP(AB20,'11. Lists'!$F$36:$H$38,3,FALSE))</f>
      </c>
      <c r="AE20" t="s" s="285">
        <f>IF(D20="","",((J20/1000)*V20*X20)*AD20)</f>
      </c>
      <c r="AF20" t="s" s="291">
        <f>IF(D20="","",((K20/1000)*V20*X20)*AD20*AJ20)</f>
      </c>
      <c r="AG20" t="s" s="313">
        <f>IF(D20="","",M20)</f>
      </c>
      <c r="AH20" t="s" s="285">
        <f>IF(T20="","",VLOOKUP(T20,'11. Lists'!$B$47:$D$49,3,FALSE))</f>
      </c>
      <c r="AI20" t="s" s="291">
        <f>IF(D20="","",VLOOKUP(D20,'10. Condition and Temporal'!$B$6:$L$103,4,FALSE))</f>
      </c>
      <c r="AJ20" t="s" s="795">
        <v>327</v>
      </c>
      <c r="AK20" t="s" s="796">
        <v>327</v>
      </c>
      <c r="AL20" s="774"/>
      <c r="AM20" s="774"/>
      <c r="AN20" s="784"/>
      <c r="AO20" s="161"/>
      <c r="AP20" s="161"/>
      <c r="AQ20" s="161"/>
      <c r="AR20" t="s" s="792">
        <f>IF(D20="","",_xlfn.IFERROR(IF(I20="","",((I20/1000)*V20*X20)*AD20),"This intervention is not permitted within the SSM ▲"))</f>
      </c>
      <c r="AS20" s="161"/>
      <c r="AT20" s="161"/>
      <c r="AU20" s="161"/>
      <c r="AV20" s="161"/>
      <c r="AW20" s="161"/>
      <c r="AX20" s="161"/>
      <c r="AY20" s="161"/>
      <c r="AZ20" s="161"/>
      <c r="BA20" s="161"/>
      <c r="BB20" s="161"/>
      <c r="BC20" s="161"/>
      <c r="BD20" s="161"/>
      <c r="BE20" s="161"/>
      <c r="BF20" s="161"/>
      <c r="BG20" s="161"/>
      <c r="BH20" s="161"/>
      <c r="BI20" s="161"/>
      <c r="BJ20" s="161"/>
      <c r="BK20" s="161"/>
      <c r="BL20" s="161"/>
      <c r="BM20" s="161"/>
      <c r="BN20" s="161"/>
      <c r="BO20" s="161"/>
      <c r="BP20" s="161"/>
      <c r="BQ20" s="161"/>
      <c r="BR20" s="161"/>
      <c r="BS20" s="161"/>
      <c r="BT20" s="161"/>
      <c r="BU20" s="161"/>
      <c r="BV20" s="161"/>
      <c r="BW20" s="161"/>
      <c r="BX20" s="664"/>
    </row>
    <row r="21" ht="15.6" customHeight="1">
      <c r="A21" s="379"/>
      <c r="B21" s="296">
        <v>11</v>
      </c>
      <c r="C21" t="s" s="797">
        <v>326</v>
      </c>
      <c r="D21" s="314"/>
      <c r="E21" s="314"/>
      <c r="F21" s="314"/>
      <c r="G21" s="314"/>
      <c r="H21" s="314"/>
      <c r="I21" s="303"/>
      <c r="J21" s="303"/>
      <c r="K21" s="303"/>
      <c r="L21" t="s" s="311">
        <f>IF(D21="","",_xlfn.IFERROR(IF(I21="","",((I21/1000)*V21*X21)*AD21*AJ21),"This intervention is not permitted within the SSM ▲"))</f>
      </c>
      <c r="M21" t="s" s="311">
        <f>IF(I21="","",IF(J21+K21&gt;I21,"Length Error ▲",I21-J21-K21))</f>
      </c>
      <c r="N21" t="s" s="311">
        <f>_xlfn.IFERROR(IF(I21="","",IF(M21="Length Error ▲","Length Error ▲",((M21/1000)*V21*X21)*AD21*AJ21)),"This intervention is not permitted within the SSM ▲")</f>
      </c>
      <c r="O21" s="312"/>
      <c r="P21" s="307"/>
      <c r="Q21" s="380"/>
      <c r="R21" s="219"/>
      <c r="S21" s="381"/>
      <c r="T21" t="s" s="285">
        <f>IF(D21="","",VLOOKUP(D21,'9. All Habitats + Multipliers'!$C$4:$K$102,5,FALSE))</f>
      </c>
      <c r="U21" s="286"/>
      <c r="V21" t="s" s="313">
        <f>IF(T21="","",VLOOKUP(T21,'11. Lists'!$B$47:$D$49,2,FALSE))</f>
      </c>
      <c r="W21" t="s" s="285">
        <f>IF(D21="","",VLOOKUP(D21,'10. Condition and Temporal'!$B$6:$C$103,2,FALSE))</f>
      </c>
      <c r="X21" t="s" s="313">
        <f>IF(W21="","",VLOOKUP(W21,'11. Lists'!$F$47:$G$51,2,FALSE))</f>
      </c>
      <c r="Y21" s="510"/>
      <c r="Z21" s="511"/>
      <c r="AA21" s="794"/>
      <c r="AB21" t="s" s="291">
        <f>IF(F21="","",F21)</f>
      </c>
      <c r="AC21" t="s" s="291">
        <f>IF(AB21="","",VLOOKUP(AB21,'11. Lists'!$F$36:$H$38,2,FALSE))</f>
      </c>
      <c r="AD21" t="s" s="313">
        <f>IF(AB21="","",VLOOKUP(AB21,'11. Lists'!$F$36:$H$38,3,FALSE))</f>
      </c>
      <c r="AE21" t="s" s="285">
        <f>IF(D21="","",((J21/1000)*V21*X21)*AD21)</f>
      </c>
      <c r="AF21" t="s" s="291">
        <f>IF(D21="","",((K21/1000)*V21*X21)*AD21*AJ21)</f>
      </c>
      <c r="AG21" t="s" s="313">
        <f>IF(D21="","",M21)</f>
      </c>
      <c r="AH21" t="s" s="285">
        <f>IF(T21="","",VLOOKUP(T21,'11. Lists'!$B$47:$D$49,3,FALSE))</f>
      </c>
      <c r="AI21" t="s" s="291">
        <f>IF(D21="","",VLOOKUP(D21,'10. Condition and Temporal'!$B$6:$L$103,4,FALSE))</f>
      </c>
      <c r="AJ21" t="s" s="795">
        <v>327</v>
      </c>
      <c r="AK21" t="s" s="796">
        <v>327</v>
      </c>
      <c r="AL21" s="774"/>
      <c r="AM21" s="774"/>
      <c r="AN21" s="784"/>
      <c r="AO21" s="161"/>
      <c r="AP21" s="161"/>
      <c r="AQ21" s="161"/>
      <c r="AR21" t="s" s="792">
        <f>IF(D21="","",_xlfn.IFERROR(IF(I21="","",((I21/1000)*V21*X21)*AD21),"This intervention is not permitted within the SSM ▲"))</f>
      </c>
      <c r="AS21" s="161"/>
      <c r="AT21" s="161"/>
      <c r="AU21" s="161"/>
      <c r="AV21" s="161"/>
      <c r="AW21" s="161"/>
      <c r="AX21" s="161"/>
      <c r="AY21" s="161"/>
      <c r="AZ21" s="161"/>
      <c r="BA21" s="161"/>
      <c r="BB21" s="161"/>
      <c r="BC21" s="161"/>
      <c r="BD21" s="161"/>
      <c r="BE21" s="161"/>
      <c r="BF21" s="161"/>
      <c r="BG21" s="161"/>
      <c r="BH21" s="161"/>
      <c r="BI21" s="161"/>
      <c r="BJ21" s="161"/>
      <c r="BK21" s="161"/>
      <c r="BL21" s="161"/>
      <c r="BM21" s="161"/>
      <c r="BN21" s="161"/>
      <c r="BO21" s="161"/>
      <c r="BP21" s="161"/>
      <c r="BQ21" s="161"/>
      <c r="BR21" s="161"/>
      <c r="BS21" s="161"/>
      <c r="BT21" s="161"/>
      <c r="BU21" s="161"/>
      <c r="BV21" s="161"/>
      <c r="BW21" s="161"/>
      <c r="BX21" s="664"/>
    </row>
    <row r="22" ht="15.6" customHeight="1">
      <c r="A22" s="379"/>
      <c r="B22" s="296">
        <v>12</v>
      </c>
      <c r="C22" t="s" s="797">
        <v>326</v>
      </c>
      <c r="D22" s="314"/>
      <c r="E22" s="314"/>
      <c r="F22" s="314"/>
      <c r="G22" s="314"/>
      <c r="H22" s="314"/>
      <c r="I22" s="303"/>
      <c r="J22" s="303"/>
      <c r="K22" s="303"/>
      <c r="L22" t="s" s="311">
        <f>IF(D22="","",_xlfn.IFERROR(IF(I22="","",((I22/1000)*V22*X22)*AD22*AJ22),"This intervention is not permitted within the SSM ▲"))</f>
      </c>
      <c r="M22" t="s" s="311">
        <f>IF(I22="","",IF(J22+K22&gt;I22,"Length Error ▲",I22-J22-K22))</f>
      </c>
      <c r="N22" t="s" s="311">
        <f>_xlfn.IFERROR(IF(I22="","",IF(M22="Length Error ▲","Length Error ▲",((M22/1000)*V22*X22)*AD22*AJ22)),"This intervention is not permitted within the SSM ▲")</f>
      </c>
      <c r="O22" s="312"/>
      <c r="P22" s="307"/>
      <c r="Q22" s="380"/>
      <c r="R22" s="219"/>
      <c r="S22" s="381"/>
      <c r="T22" t="s" s="285">
        <f>IF(D22="","",VLOOKUP(D22,'9. All Habitats + Multipliers'!$C$4:$K$102,5,FALSE))</f>
      </c>
      <c r="U22" s="286"/>
      <c r="V22" t="s" s="313">
        <f>IF(T22="","",VLOOKUP(T22,'11. Lists'!$B$47:$D$49,2,FALSE))</f>
      </c>
      <c r="W22" t="s" s="285">
        <f>IF(D22="","",VLOOKUP(D22,'10. Condition and Temporal'!$B$6:$C$103,2,FALSE))</f>
      </c>
      <c r="X22" t="s" s="313">
        <f>IF(W22="","",VLOOKUP(W22,'11. Lists'!$F$47:$G$51,2,FALSE))</f>
      </c>
      <c r="Y22" s="510"/>
      <c r="Z22" s="511"/>
      <c r="AA22" s="794"/>
      <c r="AB22" t="s" s="291">
        <f>IF(F22="","",F22)</f>
      </c>
      <c r="AC22" t="s" s="291">
        <f>IF(AB22="","",VLOOKUP(AB22,'11. Lists'!$F$36:$H$38,2,FALSE))</f>
      </c>
      <c r="AD22" t="s" s="313">
        <f>IF(AB22="","",VLOOKUP(AB22,'11. Lists'!$F$36:$H$38,3,FALSE))</f>
      </c>
      <c r="AE22" t="s" s="285">
        <f>IF(D22="","",((J22/1000)*V22*X22)*AD22)</f>
      </c>
      <c r="AF22" t="s" s="291">
        <f>IF(D22="","",((K22/1000)*V22*X22)*AD22*AJ22)</f>
      </c>
      <c r="AG22" t="s" s="313">
        <f>IF(D22="","",M22)</f>
      </c>
      <c r="AH22" t="s" s="285">
        <f>IF(T22="","",VLOOKUP(T22,'11. Lists'!$B$47:$D$49,3,FALSE))</f>
      </c>
      <c r="AI22" t="s" s="291">
        <f>IF(D22="","",VLOOKUP(D22,'10. Condition and Temporal'!$B$6:$L$103,4,FALSE))</f>
      </c>
      <c r="AJ22" t="s" s="795">
        <v>327</v>
      </c>
      <c r="AK22" t="s" s="796">
        <v>327</v>
      </c>
      <c r="AL22" s="774"/>
      <c r="AM22" s="774"/>
      <c r="AN22" s="784"/>
      <c r="AO22" s="161"/>
      <c r="AP22" s="161"/>
      <c r="AQ22" s="161"/>
      <c r="AR22" t="s" s="792">
        <f>IF(D22="","",_xlfn.IFERROR(IF(I22="","",((I22/1000)*V22*X22)*AD22),"This intervention is not permitted within the SSM ▲"))</f>
      </c>
      <c r="AS22" s="161"/>
      <c r="AT22" s="161"/>
      <c r="AU22" s="161"/>
      <c r="AV22" s="161"/>
      <c r="AW22" s="161"/>
      <c r="AX22" s="161"/>
      <c r="AY22" s="161"/>
      <c r="AZ22" s="161"/>
      <c r="BA22" s="161"/>
      <c r="BB22" s="161"/>
      <c r="BC22" s="161"/>
      <c r="BD22" s="161"/>
      <c r="BE22" s="161"/>
      <c r="BF22" s="161"/>
      <c r="BG22" s="161"/>
      <c r="BH22" s="161"/>
      <c r="BI22" s="161"/>
      <c r="BJ22" s="161"/>
      <c r="BK22" s="161"/>
      <c r="BL22" s="161"/>
      <c r="BM22" s="161"/>
      <c r="BN22" s="161"/>
      <c r="BO22" s="161"/>
      <c r="BP22" s="161"/>
      <c r="BQ22" s="161"/>
      <c r="BR22" s="161"/>
      <c r="BS22" s="161"/>
      <c r="BT22" s="161"/>
      <c r="BU22" s="161"/>
      <c r="BV22" s="161"/>
      <c r="BW22" s="161"/>
      <c r="BX22" s="664"/>
    </row>
    <row r="23" ht="15.6" customHeight="1">
      <c r="A23" s="379"/>
      <c r="B23" s="296">
        <v>13</v>
      </c>
      <c r="C23" t="s" s="797">
        <v>326</v>
      </c>
      <c r="D23" s="314"/>
      <c r="E23" s="314"/>
      <c r="F23" s="314"/>
      <c r="G23" s="314"/>
      <c r="H23" s="314"/>
      <c r="I23" s="303"/>
      <c r="J23" s="303"/>
      <c r="K23" s="303"/>
      <c r="L23" t="s" s="311">
        <f>IF(D23="","",_xlfn.IFERROR(IF(I23="","",((I23/1000)*V23*X23)*AD23*AJ23),"This intervention is not permitted within the SSM ▲"))</f>
      </c>
      <c r="M23" t="s" s="311">
        <f>IF(I23="","",IF(J23+K23&gt;I23,"Length Error ▲",I23-J23-K23))</f>
      </c>
      <c r="N23" t="s" s="311">
        <f>_xlfn.IFERROR(IF(I23="","",IF(M23="Length Error ▲","Length Error ▲",((M23/1000)*V23*X23)*AD23*AJ23)),"This intervention is not permitted within the SSM ▲")</f>
      </c>
      <c r="O23" s="312"/>
      <c r="P23" s="307"/>
      <c r="Q23" s="380"/>
      <c r="R23" s="219"/>
      <c r="S23" s="381"/>
      <c r="T23" t="s" s="285">
        <f>IF(D23="","",VLOOKUP(D23,'9. All Habitats + Multipliers'!$C$4:$K$102,5,FALSE))</f>
      </c>
      <c r="U23" s="286"/>
      <c r="V23" t="s" s="313">
        <f>IF(T23="","",VLOOKUP(T23,'11. Lists'!$B$47:$D$49,2,FALSE))</f>
      </c>
      <c r="W23" t="s" s="285">
        <f>IF(D23="","",VLOOKUP(D23,'10. Condition and Temporal'!$B$6:$C$103,2,FALSE))</f>
      </c>
      <c r="X23" t="s" s="313">
        <f>IF(W23="","",VLOOKUP(W23,'11. Lists'!$F$47:$G$51,2,FALSE))</f>
      </c>
      <c r="Y23" s="510"/>
      <c r="Z23" s="511"/>
      <c r="AA23" s="794"/>
      <c r="AB23" t="s" s="291">
        <f>IF(F23="","",F23)</f>
      </c>
      <c r="AC23" t="s" s="291">
        <f>IF(AB23="","",VLOOKUP(AB23,'11. Lists'!$F$36:$H$38,2,FALSE))</f>
      </c>
      <c r="AD23" t="s" s="313">
        <f>IF(AB23="","",VLOOKUP(AB23,'11. Lists'!$F$36:$H$38,3,FALSE))</f>
      </c>
      <c r="AE23" t="s" s="285">
        <f>IF(D23="","",((J23/1000)*V23*X23)*AD23)</f>
      </c>
      <c r="AF23" t="s" s="291">
        <f>IF(D23="","",((K23/1000)*V23*X23)*AD23*AJ23)</f>
      </c>
      <c r="AG23" t="s" s="313">
        <f>IF(D23="","",M23)</f>
      </c>
      <c r="AH23" t="s" s="285">
        <f>IF(T23="","",VLOOKUP(T23,'11. Lists'!$B$47:$D$49,3,FALSE))</f>
      </c>
      <c r="AI23" t="s" s="291">
        <f>IF(D23="","",VLOOKUP(D23,'10. Condition and Temporal'!$B$6:$L$103,4,FALSE))</f>
      </c>
      <c r="AJ23" t="s" s="795">
        <v>327</v>
      </c>
      <c r="AK23" t="s" s="796">
        <v>327</v>
      </c>
      <c r="AL23" s="774"/>
      <c r="AM23" s="774"/>
      <c r="AN23" s="784"/>
      <c r="AO23" s="161"/>
      <c r="AP23" s="161"/>
      <c r="AQ23" s="161"/>
      <c r="AR23" t="s" s="792">
        <f>IF(D23="","",_xlfn.IFERROR(IF(I23="","",((I23/1000)*V23*X23)*AD23),"This intervention is not permitted within the SSM ▲"))</f>
      </c>
      <c r="AS23" s="161"/>
      <c r="AT23" s="161"/>
      <c r="AU23" s="161"/>
      <c r="AV23" s="161"/>
      <c r="AW23" s="161"/>
      <c r="AX23" s="161"/>
      <c r="AY23" s="161"/>
      <c r="AZ23" s="161"/>
      <c r="BA23" s="161"/>
      <c r="BB23" s="161"/>
      <c r="BC23" s="161"/>
      <c r="BD23" s="161"/>
      <c r="BE23" s="161"/>
      <c r="BF23" s="161"/>
      <c r="BG23" s="161"/>
      <c r="BH23" s="161"/>
      <c r="BI23" s="161"/>
      <c r="BJ23" s="161"/>
      <c r="BK23" s="161"/>
      <c r="BL23" s="161"/>
      <c r="BM23" s="161"/>
      <c r="BN23" s="161"/>
      <c r="BO23" s="161"/>
      <c r="BP23" s="161"/>
      <c r="BQ23" s="161"/>
      <c r="BR23" s="161"/>
      <c r="BS23" s="161"/>
      <c r="BT23" s="161"/>
      <c r="BU23" s="161"/>
      <c r="BV23" s="161"/>
      <c r="BW23" s="161"/>
      <c r="BX23" s="664"/>
    </row>
    <row r="24" ht="15.6" customHeight="1">
      <c r="A24" s="379"/>
      <c r="B24" s="296">
        <v>14</v>
      </c>
      <c r="C24" t="s" s="797">
        <v>326</v>
      </c>
      <c r="D24" s="314"/>
      <c r="E24" s="314"/>
      <c r="F24" s="314"/>
      <c r="G24" s="314"/>
      <c r="H24" s="314"/>
      <c r="I24" s="303"/>
      <c r="J24" s="303"/>
      <c r="K24" s="303"/>
      <c r="L24" t="s" s="311">
        <f>IF(D24="","",_xlfn.IFERROR(IF(I24="","",((I24/1000)*V24*X24)*AD24*AJ24),"This intervention is not permitted within the SSM ▲"))</f>
      </c>
      <c r="M24" t="s" s="311">
        <f>IF(I24="","",IF(J24+K24&gt;I24,"Length Error ▲",I24-J24-K24))</f>
      </c>
      <c r="N24" t="s" s="311">
        <f>_xlfn.IFERROR(IF(I24="","",IF(M24="Length Error ▲","Length Error ▲",((M24/1000)*V24*X24)*AD24*AJ24)),"This intervention is not permitted within the SSM ▲")</f>
      </c>
      <c r="O24" s="312"/>
      <c r="P24" s="307"/>
      <c r="Q24" s="380"/>
      <c r="R24" s="219"/>
      <c r="S24" s="381"/>
      <c r="T24" t="s" s="285">
        <f>IF(D24="","",VLOOKUP(D24,'9. All Habitats + Multipliers'!$C$4:$K$102,5,FALSE))</f>
      </c>
      <c r="U24" s="286"/>
      <c r="V24" t="s" s="313">
        <f>IF(T24="","",VLOOKUP(T24,'11. Lists'!$B$47:$D$49,2,FALSE))</f>
      </c>
      <c r="W24" t="s" s="285">
        <f>IF(D24="","",VLOOKUP(D24,'10. Condition and Temporal'!$B$6:$C$103,2,FALSE))</f>
      </c>
      <c r="X24" t="s" s="313">
        <f>IF(W24="","",VLOOKUP(W24,'11. Lists'!$F$47:$G$51,2,FALSE))</f>
      </c>
      <c r="Y24" s="510"/>
      <c r="Z24" s="511"/>
      <c r="AA24" s="794"/>
      <c r="AB24" t="s" s="291">
        <f>IF(F24="","",F24)</f>
      </c>
      <c r="AC24" t="s" s="291">
        <f>IF(AB24="","",VLOOKUP(AB24,'11. Lists'!$F$36:$H$38,2,FALSE))</f>
      </c>
      <c r="AD24" t="s" s="313">
        <f>IF(AB24="","",VLOOKUP(AB24,'11. Lists'!$F$36:$H$38,3,FALSE))</f>
      </c>
      <c r="AE24" t="s" s="285">
        <f>IF(D24="","",((J24/1000)*V24*X24)*AD24)</f>
      </c>
      <c r="AF24" t="s" s="291">
        <f>IF(D24="","",((K24/1000)*V24*X24)*AD24*AJ24)</f>
      </c>
      <c r="AG24" t="s" s="313">
        <f>IF(D24="","",M24)</f>
      </c>
      <c r="AH24" t="s" s="285">
        <f>IF(T24="","",VLOOKUP(T24,'11. Lists'!$B$47:$D$49,3,FALSE))</f>
      </c>
      <c r="AI24" t="s" s="291">
        <f>IF(D24="","",VLOOKUP(D24,'10. Condition and Temporal'!$B$6:$L$103,4,FALSE))</f>
      </c>
      <c r="AJ24" t="s" s="795">
        <v>327</v>
      </c>
      <c r="AK24" t="s" s="796">
        <v>327</v>
      </c>
      <c r="AL24" s="774"/>
      <c r="AM24" s="774"/>
      <c r="AN24" s="784"/>
      <c r="AO24" s="161"/>
      <c r="AP24" s="161"/>
      <c r="AQ24" s="161"/>
      <c r="AR24" t="s" s="792">
        <f>IF(D24="","",_xlfn.IFERROR(IF(I24="","",((I24/1000)*V24*X24)*AD24),"This intervention is not permitted within the SSM ▲"))</f>
      </c>
      <c r="AS24" s="161"/>
      <c r="AT24" s="161"/>
      <c r="AU24" s="161"/>
      <c r="AV24" s="161"/>
      <c r="AW24" s="161"/>
      <c r="AX24" s="161"/>
      <c r="AY24" s="161"/>
      <c r="AZ24" s="161"/>
      <c r="BA24" s="161"/>
      <c r="BB24" s="161"/>
      <c r="BC24" s="161"/>
      <c r="BD24" s="161"/>
      <c r="BE24" s="161"/>
      <c r="BF24" s="161"/>
      <c r="BG24" s="161"/>
      <c r="BH24" s="161"/>
      <c r="BI24" s="161"/>
      <c r="BJ24" s="161"/>
      <c r="BK24" s="161"/>
      <c r="BL24" s="161"/>
      <c r="BM24" s="161"/>
      <c r="BN24" s="161"/>
      <c r="BO24" s="161"/>
      <c r="BP24" s="161"/>
      <c r="BQ24" s="161"/>
      <c r="BR24" s="161"/>
      <c r="BS24" s="161"/>
      <c r="BT24" s="161"/>
      <c r="BU24" s="161"/>
      <c r="BV24" s="161"/>
      <c r="BW24" s="161"/>
      <c r="BX24" s="664"/>
    </row>
    <row r="25" ht="15.6" customHeight="1">
      <c r="A25" s="379"/>
      <c r="B25" s="296">
        <v>15</v>
      </c>
      <c r="C25" t="s" s="797">
        <v>326</v>
      </c>
      <c r="D25" s="314"/>
      <c r="E25" s="314"/>
      <c r="F25" s="314"/>
      <c r="G25" s="314"/>
      <c r="H25" s="314"/>
      <c r="I25" s="303"/>
      <c r="J25" s="303"/>
      <c r="K25" s="303"/>
      <c r="L25" t="s" s="311">
        <f>IF(D25="","",_xlfn.IFERROR(IF(I25="","",((I25/1000)*V25*X25)*AD25*AJ25),"This intervention is not permitted within the SSM ▲"))</f>
      </c>
      <c r="M25" t="s" s="311">
        <f>IF(I25="","",IF(J25+K25&gt;I25,"Length Error ▲",I25-J25-K25))</f>
      </c>
      <c r="N25" t="s" s="311">
        <f>_xlfn.IFERROR(IF(I25="","",IF(M25="Length Error ▲","Length Error ▲",((M25/1000)*V25*X25)*AD25*AJ25)),"This intervention is not permitted within the SSM ▲")</f>
      </c>
      <c r="O25" s="312"/>
      <c r="P25" s="307"/>
      <c r="Q25" s="380"/>
      <c r="R25" s="219"/>
      <c r="S25" s="381"/>
      <c r="T25" t="s" s="285">
        <f>IF(D25="","",VLOOKUP(D25,'9. All Habitats + Multipliers'!$C$4:$K$102,5,FALSE))</f>
      </c>
      <c r="U25" s="286"/>
      <c r="V25" t="s" s="313">
        <f>IF(T25="","",VLOOKUP(T25,'11. Lists'!$B$47:$D$49,2,FALSE))</f>
      </c>
      <c r="W25" t="s" s="285">
        <f>IF(D25="","",VLOOKUP(D25,'10. Condition and Temporal'!$B$6:$C$103,2,FALSE))</f>
      </c>
      <c r="X25" t="s" s="313">
        <f>IF(W25="","",VLOOKUP(W25,'11. Lists'!$F$47:$G$51,2,FALSE))</f>
      </c>
      <c r="Y25" s="510"/>
      <c r="Z25" s="511"/>
      <c r="AA25" s="794"/>
      <c r="AB25" t="s" s="291">
        <f>IF(F25="","",F25)</f>
      </c>
      <c r="AC25" t="s" s="291">
        <f>IF(AB25="","",VLOOKUP(AB25,'11. Lists'!$F$36:$H$38,2,FALSE))</f>
      </c>
      <c r="AD25" t="s" s="313">
        <f>IF(AB25="","",VLOOKUP(AB25,'11. Lists'!$F$36:$H$38,3,FALSE))</f>
      </c>
      <c r="AE25" t="s" s="285">
        <f>IF(D25="","",((J25/1000)*V25*X25)*AD25)</f>
      </c>
      <c r="AF25" t="s" s="291">
        <f>IF(D25="","",((K25/1000)*V25*X25)*AD25*AJ25)</f>
      </c>
      <c r="AG25" t="s" s="313">
        <f>IF(D25="","",M25)</f>
      </c>
      <c r="AH25" t="s" s="285">
        <f>IF(T25="","",VLOOKUP(T25,'11. Lists'!$B$47:$D$49,3,FALSE))</f>
      </c>
      <c r="AI25" t="s" s="291">
        <f>IF(D25="","",VLOOKUP(D25,'10. Condition and Temporal'!$B$6:$L$103,4,FALSE))</f>
      </c>
      <c r="AJ25" t="s" s="795">
        <v>327</v>
      </c>
      <c r="AK25" t="s" s="796">
        <v>327</v>
      </c>
      <c r="AL25" s="774"/>
      <c r="AM25" s="774"/>
      <c r="AN25" s="784"/>
      <c r="AO25" s="161"/>
      <c r="AP25" s="161"/>
      <c r="AQ25" s="161"/>
      <c r="AR25" t="s" s="792">
        <f>IF(D25="","",_xlfn.IFERROR(IF(I25="","",((I25/1000)*V25*X25)*AD25),"This intervention is not permitted within the SSM ▲"))</f>
      </c>
      <c r="AS25" s="161"/>
      <c r="AT25" s="161"/>
      <c r="AU25" s="161"/>
      <c r="AV25" s="161"/>
      <c r="AW25" s="161"/>
      <c r="AX25" s="161"/>
      <c r="AY25" s="161"/>
      <c r="AZ25" s="161"/>
      <c r="BA25" s="161"/>
      <c r="BB25" s="161"/>
      <c r="BC25" s="161"/>
      <c r="BD25" s="161"/>
      <c r="BE25" s="161"/>
      <c r="BF25" s="161"/>
      <c r="BG25" s="161"/>
      <c r="BH25" s="161"/>
      <c r="BI25" s="161"/>
      <c r="BJ25" s="161"/>
      <c r="BK25" s="161"/>
      <c r="BL25" s="161"/>
      <c r="BM25" s="161"/>
      <c r="BN25" s="161"/>
      <c r="BO25" s="161"/>
      <c r="BP25" s="161"/>
      <c r="BQ25" s="161"/>
      <c r="BR25" s="161"/>
      <c r="BS25" s="161"/>
      <c r="BT25" s="161"/>
      <c r="BU25" s="161"/>
      <c r="BV25" s="161"/>
      <c r="BW25" s="161"/>
      <c r="BX25" s="664"/>
    </row>
    <row r="26" ht="15.6" customHeight="1">
      <c r="A26" s="379"/>
      <c r="B26" s="296">
        <v>16</v>
      </c>
      <c r="C26" t="s" s="797">
        <v>326</v>
      </c>
      <c r="D26" s="314"/>
      <c r="E26" s="314"/>
      <c r="F26" s="314"/>
      <c r="G26" s="314"/>
      <c r="H26" s="314"/>
      <c r="I26" s="303"/>
      <c r="J26" s="303"/>
      <c r="K26" s="303"/>
      <c r="L26" t="s" s="311">
        <f>IF(D26="","",_xlfn.IFERROR(IF(I26="","",((I26/1000)*V26*X26)*AD26*AJ26),"This intervention is not permitted within the SSM ▲"))</f>
      </c>
      <c r="M26" t="s" s="311">
        <f>IF(I26="","",IF(J26+K26&gt;I26,"Length Error ▲",I26-J26-K26))</f>
      </c>
      <c r="N26" t="s" s="311">
        <f>_xlfn.IFERROR(IF(I26="","",IF(M26="Length Error ▲","Length Error ▲",((M26/1000)*V26*X26)*AD26*AJ26)),"This intervention is not permitted within the SSM ▲")</f>
      </c>
      <c r="O26" s="312"/>
      <c r="P26" s="307"/>
      <c r="Q26" s="380"/>
      <c r="R26" s="219"/>
      <c r="S26" s="381"/>
      <c r="T26" t="s" s="285">
        <f>IF(D26="","",VLOOKUP(D26,'9. All Habitats + Multipliers'!$C$4:$K$102,5,FALSE))</f>
      </c>
      <c r="U26" s="286"/>
      <c r="V26" t="s" s="313">
        <f>IF(T26="","",VLOOKUP(T26,'11. Lists'!$B$47:$D$49,2,FALSE))</f>
      </c>
      <c r="W26" t="s" s="285">
        <f>IF(D26="","",VLOOKUP(D26,'10. Condition and Temporal'!$B$6:$C$103,2,FALSE))</f>
      </c>
      <c r="X26" t="s" s="313">
        <f>IF(W26="","",VLOOKUP(W26,'11. Lists'!$F$47:$G$51,2,FALSE))</f>
      </c>
      <c r="Y26" s="510"/>
      <c r="Z26" s="511"/>
      <c r="AA26" s="794"/>
      <c r="AB26" t="s" s="291">
        <f>IF(F26="","",F26)</f>
      </c>
      <c r="AC26" t="s" s="291">
        <f>IF(AB26="","",VLOOKUP(AB26,'11. Lists'!$F$36:$H$38,2,FALSE))</f>
      </c>
      <c r="AD26" t="s" s="313">
        <f>IF(AB26="","",VLOOKUP(AB26,'11. Lists'!$F$36:$H$38,3,FALSE))</f>
      </c>
      <c r="AE26" t="s" s="285">
        <f>IF(D26="","",((J26/1000)*V26*X26)*AD26)</f>
      </c>
      <c r="AF26" t="s" s="291">
        <f>IF(D26="","",((K26/1000)*V26*X26)*AD26*AJ26)</f>
      </c>
      <c r="AG26" t="s" s="313">
        <f>IF(D26="","",M26)</f>
      </c>
      <c r="AH26" t="s" s="285">
        <f>IF(T26="","",VLOOKUP(T26,'11. Lists'!$B$47:$D$49,3,FALSE))</f>
      </c>
      <c r="AI26" t="s" s="291">
        <f>IF(D26="","",VLOOKUP(D26,'10. Condition and Temporal'!$B$6:$L$103,4,FALSE))</f>
      </c>
      <c r="AJ26" t="s" s="795">
        <v>327</v>
      </c>
      <c r="AK26" t="s" s="796">
        <v>327</v>
      </c>
      <c r="AL26" s="774"/>
      <c r="AM26" s="774"/>
      <c r="AN26" s="784"/>
      <c r="AO26" s="161"/>
      <c r="AP26" s="161"/>
      <c r="AQ26" s="161"/>
      <c r="AR26" t="s" s="792">
        <f>IF(D26="","",_xlfn.IFERROR(IF(I26="","",((I26/1000)*V26*X26)*AD26),"This intervention is not permitted within the SSM ▲"))</f>
      </c>
      <c r="AS26" s="161"/>
      <c r="AT26" s="161"/>
      <c r="AU26" s="161"/>
      <c r="AV26" s="161"/>
      <c r="AW26" s="161"/>
      <c r="AX26" s="161"/>
      <c r="AY26" s="161"/>
      <c r="AZ26" s="161"/>
      <c r="BA26" s="161"/>
      <c r="BB26" s="161"/>
      <c r="BC26" s="161"/>
      <c r="BD26" s="161"/>
      <c r="BE26" s="161"/>
      <c r="BF26" s="161"/>
      <c r="BG26" s="161"/>
      <c r="BH26" s="161"/>
      <c r="BI26" s="161"/>
      <c r="BJ26" s="161"/>
      <c r="BK26" s="161"/>
      <c r="BL26" s="161"/>
      <c r="BM26" s="161"/>
      <c r="BN26" s="161"/>
      <c r="BO26" s="161"/>
      <c r="BP26" s="161"/>
      <c r="BQ26" s="161"/>
      <c r="BR26" s="161"/>
      <c r="BS26" s="161"/>
      <c r="BT26" s="161"/>
      <c r="BU26" s="161"/>
      <c r="BV26" s="161"/>
      <c r="BW26" s="161"/>
      <c r="BX26" s="664"/>
    </row>
    <row r="27" ht="15.6" customHeight="1">
      <c r="A27" s="379"/>
      <c r="B27" s="296">
        <v>17</v>
      </c>
      <c r="C27" t="s" s="797">
        <v>326</v>
      </c>
      <c r="D27" s="314"/>
      <c r="E27" s="314"/>
      <c r="F27" s="314"/>
      <c r="G27" s="314"/>
      <c r="H27" s="314"/>
      <c r="I27" s="303"/>
      <c r="J27" s="303"/>
      <c r="K27" s="303"/>
      <c r="L27" t="s" s="311">
        <f>IF(D27="","",_xlfn.IFERROR(IF(I27="","",((I27/1000)*V27*X27)*AD27*AJ27),"This intervention is not permitted within the SSM ▲"))</f>
      </c>
      <c r="M27" t="s" s="311">
        <f>IF(I27="","",IF(J27+K27&gt;I27,"Length Error ▲",I27-J27-K27))</f>
      </c>
      <c r="N27" t="s" s="311">
        <f>_xlfn.IFERROR(IF(I27="","",IF(M27="Length Error ▲","Length Error ▲",((M27/1000)*V27*X27)*AD27*AJ27)),"This intervention is not permitted within the SSM ▲")</f>
      </c>
      <c r="O27" s="312"/>
      <c r="P27" s="307"/>
      <c r="Q27" s="380"/>
      <c r="R27" s="219"/>
      <c r="S27" s="381"/>
      <c r="T27" t="s" s="285">
        <f>IF(D27="","",VLOOKUP(D27,'9. All Habitats + Multipliers'!$C$4:$K$102,5,FALSE))</f>
      </c>
      <c r="U27" s="286"/>
      <c r="V27" t="s" s="313">
        <f>IF(T27="","",VLOOKUP(T27,'11. Lists'!$B$47:$D$49,2,FALSE))</f>
      </c>
      <c r="W27" t="s" s="285">
        <f>IF(D27="","",VLOOKUP(D27,'10. Condition and Temporal'!$B$6:$C$103,2,FALSE))</f>
      </c>
      <c r="X27" t="s" s="313">
        <f>IF(W27="","",VLOOKUP(W27,'11. Lists'!$F$47:$G$51,2,FALSE))</f>
      </c>
      <c r="Y27" s="510"/>
      <c r="Z27" s="511"/>
      <c r="AA27" s="794"/>
      <c r="AB27" t="s" s="291">
        <f>IF(F27="","",F27)</f>
      </c>
      <c r="AC27" t="s" s="291">
        <f>IF(AB27="","",VLOOKUP(AB27,'11. Lists'!$F$36:$H$38,2,FALSE))</f>
      </c>
      <c r="AD27" t="s" s="313">
        <f>IF(AB27="","",VLOOKUP(AB27,'11. Lists'!$F$36:$H$38,3,FALSE))</f>
      </c>
      <c r="AE27" t="s" s="285">
        <f>IF(D27="","",((J27/1000)*V27*X27)*AD27)</f>
      </c>
      <c r="AF27" t="s" s="291">
        <f>IF(D27="","",((K27/1000)*V27*X27)*AD27*AJ27)</f>
      </c>
      <c r="AG27" t="s" s="313">
        <f>IF(D27="","",M27)</f>
      </c>
      <c r="AH27" t="s" s="285">
        <f>IF(T27="","",VLOOKUP(T27,'11. Lists'!$B$47:$D$49,3,FALSE))</f>
      </c>
      <c r="AI27" t="s" s="291">
        <f>IF(D27="","",VLOOKUP(D27,'10. Condition and Temporal'!$B$6:$L$103,4,FALSE))</f>
      </c>
      <c r="AJ27" t="s" s="795">
        <v>327</v>
      </c>
      <c r="AK27" t="s" s="796">
        <v>327</v>
      </c>
      <c r="AL27" s="774"/>
      <c r="AM27" s="774"/>
      <c r="AN27" s="784"/>
      <c r="AO27" s="161"/>
      <c r="AP27" s="161"/>
      <c r="AQ27" s="161"/>
      <c r="AR27" t="s" s="792">
        <f>IF(D27="","",_xlfn.IFERROR(IF(I27="","",((I27/1000)*V27*X27)*AD27),"This intervention is not permitted within the SSM ▲"))</f>
      </c>
      <c r="AS27" s="161"/>
      <c r="AT27" s="161"/>
      <c r="AU27" s="161"/>
      <c r="AV27" s="161"/>
      <c r="AW27" s="161"/>
      <c r="AX27" s="161"/>
      <c r="AY27" s="161"/>
      <c r="AZ27" s="161"/>
      <c r="BA27" s="161"/>
      <c r="BB27" s="161"/>
      <c r="BC27" s="161"/>
      <c r="BD27" s="161"/>
      <c r="BE27" s="161"/>
      <c r="BF27" s="161"/>
      <c r="BG27" s="161"/>
      <c r="BH27" s="161"/>
      <c r="BI27" s="161"/>
      <c r="BJ27" s="161"/>
      <c r="BK27" s="161"/>
      <c r="BL27" s="161"/>
      <c r="BM27" s="161"/>
      <c r="BN27" s="161"/>
      <c r="BO27" s="161"/>
      <c r="BP27" s="161"/>
      <c r="BQ27" s="161"/>
      <c r="BR27" s="161"/>
      <c r="BS27" s="161"/>
      <c r="BT27" s="161"/>
      <c r="BU27" s="161"/>
      <c r="BV27" s="161"/>
      <c r="BW27" s="161"/>
      <c r="BX27" s="664"/>
    </row>
    <row r="28" ht="15.6" customHeight="1">
      <c r="A28" s="379"/>
      <c r="B28" s="296">
        <v>18</v>
      </c>
      <c r="C28" t="s" s="797">
        <v>326</v>
      </c>
      <c r="D28" s="314"/>
      <c r="E28" s="314"/>
      <c r="F28" s="314"/>
      <c r="G28" s="314"/>
      <c r="H28" s="314"/>
      <c r="I28" s="303"/>
      <c r="J28" s="303"/>
      <c r="K28" s="303"/>
      <c r="L28" t="s" s="311">
        <f>IF(D28="","",_xlfn.IFERROR(IF(I28="","",((I28/1000)*V28*X28)*AD28*AJ28),"This intervention is not permitted within the SSM ▲"))</f>
      </c>
      <c r="M28" t="s" s="311">
        <f>IF(I28="","",IF(J28+K28&gt;I28,"Length Error ▲",I28-J28-K28))</f>
      </c>
      <c r="N28" t="s" s="311">
        <f>_xlfn.IFERROR(IF(I28="","",IF(M28="Length Error ▲","Length Error ▲",((M28/1000)*V28*X28)*AD28*AJ28)),"This intervention is not permitted within the SSM ▲")</f>
      </c>
      <c r="O28" s="312"/>
      <c r="P28" s="307"/>
      <c r="Q28" s="380"/>
      <c r="R28" s="219"/>
      <c r="S28" s="381"/>
      <c r="T28" t="s" s="285">
        <f>IF(D28="","",VLOOKUP(D28,'9. All Habitats + Multipliers'!$C$4:$K$102,5,FALSE))</f>
      </c>
      <c r="U28" s="286"/>
      <c r="V28" t="s" s="313">
        <f>IF(T28="","",VLOOKUP(T28,'11. Lists'!$B$47:$D$49,2,FALSE))</f>
      </c>
      <c r="W28" t="s" s="285">
        <f>IF(D28="","",VLOOKUP(D28,'10. Condition and Temporal'!$B$6:$C$103,2,FALSE))</f>
      </c>
      <c r="X28" t="s" s="313">
        <f>IF(W28="","",VLOOKUP(W28,'11. Lists'!$F$47:$G$51,2,FALSE))</f>
      </c>
      <c r="Y28" s="510"/>
      <c r="Z28" s="511"/>
      <c r="AA28" s="794"/>
      <c r="AB28" t="s" s="291">
        <f>IF(F28="","",F28)</f>
      </c>
      <c r="AC28" t="s" s="291">
        <f>IF(AB28="","",VLOOKUP(AB28,'11. Lists'!$F$36:$H$38,2,FALSE))</f>
      </c>
      <c r="AD28" t="s" s="313">
        <f>IF(AB28="","",VLOOKUP(AB28,'11. Lists'!$F$36:$H$38,3,FALSE))</f>
      </c>
      <c r="AE28" t="s" s="285">
        <f>IF(D28="","",((J28/1000)*V28*X28)*AD28)</f>
      </c>
      <c r="AF28" t="s" s="291">
        <f>IF(D28="","",((K28/1000)*V28*X28)*AD28*AJ28)</f>
      </c>
      <c r="AG28" t="s" s="313">
        <f>IF(D28="","",M28)</f>
      </c>
      <c r="AH28" t="s" s="285">
        <f>IF(T28="","",VLOOKUP(T28,'11. Lists'!$B$47:$D$49,3,FALSE))</f>
      </c>
      <c r="AI28" t="s" s="291">
        <f>IF(D28="","",VLOOKUP(D28,'10. Condition and Temporal'!$B$6:$L$103,4,FALSE))</f>
      </c>
      <c r="AJ28" t="s" s="795">
        <v>327</v>
      </c>
      <c r="AK28" t="s" s="796">
        <v>327</v>
      </c>
      <c r="AL28" s="774"/>
      <c r="AM28" s="774"/>
      <c r="AN28" s="784"/>
      <c r="AO28" s="161"/>
      <c r="AP28" s="161"/>
      <c r="AQ28" s="161"/>
      <c r="AR28" t="s" s="792">
        <f>IF(D28="","",_xlfn.IFERROR(IF(I28="","",((I28/1000)*V28*X28)*AD28),"This intervention is not permitted within the SSM ▲"))</f>
      </c>
      <c r="AS28" s="161"/>
      <c r="AT28" s="161"/>
      <c r="AU28" s="161"/>
      <c r="AV28" s="161"/>
      <c r="AW28" s="161"/>
      <c r="AX28" s="161"/>
      <c r="AY28" s="161"/>
      <c r="AZ28" s="161"/>
      <c r="BA28" s="161"/>
      <c r="BB28" s="161"/>
      <c r="BC28" s="161"/>
      <c r="BD28" s="161"/>
      <c r="BE28" s="161"/>
      <c r="BF28" s="161"/>
      <c r="BG28" s="161"/>
      <c r="BH28" s="161"/>
      <c r="BI28" s="161"/>
      <c r="BJ28" s="161"/>
      <c r="BK28" s="161"/>
      <c r="BL28" s="161"/>
      <c r="BM28" s="161"/>
      <c r="BN28" s="161"/>
      <c r="BO28" s="161"/>
      <c r="BP28" s="161"/>
      <c r="BQ28" s="161"/>
      <c r="BR28" s="161"/>
      <c r="BS28" s="161"/>
      <c r="BT28" s="161"/>
      <c r="BU28" s="161"/>
      <c r="BV28" s="161"/>
      <c r="BW28" s="161"/>
      <c r="BX28" s="664"/>
    </row>
    <row r="29" ht="15.6" customHeight="1">
      <c r="A29" s="379"/>
      <c r="B29" s="296">
        <v>19</v>
      </c>
      <c r="C29" t="s" s="797">
        <v>326</v>
      </c>
      <c r="D29" s="314"/>
      <c r="E29" s="314"/>
      <c r="F29" s="314"/>
      <c r="G29" s="314"/>
      <c r="H29" s="314"/>
      <c r="I29" s="303"/>
      <c r="J29" s="303"/>
      <c r="K29" s="303"/>
      <c r="L29" t="s" s="311">
        <f>IF(D29="","",_xlfn.IFERROR(IF(I29="","",((I29/1000)*V29*X29)*AD29*AJ29),"This intervention is not permitted within the SSM ▲"))</f>
      </c>
      <c r="M29" t="s" s="311">
        <f>IF(I29="","",IF(J29+K29&gt;I29,"Length Error ▲",I29-J29-K29))</f>
      </c>
      <c r="N29" t="s" s="311">
        <f>_xlfn.IFERROR(IF(I29="","",IF(M29="Length Error ▲","Length Error ▲",((M29/1000)*V29*X29)*AD29*AJ29)),"This intervention is not permitted within the SSM ▲")</f>
      </c>
      <c r="O29" s="312"/>
      <c r="P29" s="307"/>
      <c r="Q29" s="380"/>
      <c r="R29" s="219"/>
      <c r="S29" s="381"/>
      <c r="T29" t="s" s="285">
        <f>IF(D29="","",VLOOKUP(D29,'9. All Habitats + Multipliers'!$C$4:$K$102,5,FALSE))</f>
      </c>
      <c r="U29" s="286"/>
      <c r="V29" t="s" s="313">
        <f>IF(T29="","",VLOOKUP(T29,'11. Lists'!$B$47:$D$49,2,FALSE))</f>
      </c>
      <c r="W29" t="s" s="285">
        <f>IF(D29="","",VLOOKUP(D29,'10. Condition and Temporal'!$B$6:$C$103,2,FALSE))</f>
      </c>
      <c r="X29" t="s" s="313">
        <f>IF(W29="","",VLOOKUP(W29,'11. Lists'!$F$47:$G$51,2,FALSE))</f>
      </c>
      <c r="Y29" s="510"/>
      <c r="Z29" s="511"/>
      <c r="AA29" s="794"/>
      <c r="AB29" t="s" s="291">
        <f>IF(F29="","",F29)</f>
      </c>
      <c r="AC29" t="s" s="291">
        <f>IF(AB29="","",VLOOKUP(AB29,'11. Lists'!$F$36:$H$38,2,FALSE))</f>
      </c>
      <c r="AD29" t="s" s="313">
        <f>IF(AB29="","",VLOOKUP(AB29,'11. Lists'!$F$36:$H$38,3,FALSE))</f>
      </c>
      <c r="AE29" t="s" s="285">
        <f>IF(D29="","",((J29/1000)*V29*X29)*AD29)</f>
      </c>
      <c r="AF29" t="s" s="291">
        <f>IF(D29="","",((K29/1000)*V29*X29)*AD29*AJ29)</f>
      </c>
      <c r="AG29" t="s" s="313">
        <f>IF(D29="","",M29)</f>
      </c>
      <c r="AH29" t="s" s="285">
        <f>IF(T29="","",VLOOKUP(T29,'11. Lists'!$B$47:$D$49,3,FALSE))</f>
      </c>
      <c r="AI29" t="s" s="291">
        <f>IF(D29="","",VLOOKUP(D29,'10. Condition and Temporal'!$B$6:$L$103,4,FALSE))</f>
      </c>
      <c r="AJ29" t="s" s="795">
        <v>327</v>
      </c>
      <c r="AK29" t="s" s="796">
        <v>327</v>
      </c>
      <c r="AL29" s="774"/>
      <c r="AM29" s="774"/>
      <c r="AN29" s="784"/>
      <c r="AO29" s="161"/>
      <c r="AP29" s="161"/>
      <c r="AQ29" s="161"/>
      <c r="AR29" t="s" s="792">
        <f>IF(D29="","",_xlfn.IFERROR(IF(I29="","",((I29/1000)*V29*X29)*AD29),"This intervention is not permitted within the SSM ▲"))</f>
      </c>
      <c r="AS29" s="161"/>
      <c r="AT29" s="161"/>
      <c r="AU29" s="161"/>
      <c r="AV29" s="161"/>
      <c r="AW29" s="161"/>
      <c r="AX29" s="161"/>
      <c r="AY29" s="161"/>
      <c r="AZ29" s="161"/>
      <c r="BA29" s="161"/>
      <c r="BB29" s="161"/>
      <c r="BC29" s="161"/>
      <c r="BD29" s="161"/>
      <c r="BE29" s="161"/>
      <c r="BF29" s="161"/>
      <c r="BG29" s="161"/>
      <c r="BH29" s="161"/>
      <c r="BI29" s="161"/>
      <c r="BJ29" s="161"/>
      <c r="BK29" s="161"/>
      <c r="BL29" s="161"/>
      <c r="BM29" s="161"/>
      <c r="BN29" s="161"/>
      <c r="BO29" s="161"/>
      <c r="BP29" s="161"/>
      <c r="BQ29" s="161"/>
      <c r="BR29" s="161"/>
      <c r="BS29" s="161"/>
      <c r="BT29" s="161"/>
      <c r="BU29" s="161"/>
      <c r="BV29" s="161"/>
      <c r="BW29" s="161"/>
      <c r="BX29" s="664"/>
    </row>
    <row r="30" ht="16.5" customHeight="1">
      <c r="A30" s="379"/>
      <c r="B30" s="419">
        <v>20</v>
      </c>
      <c r="C30" t="s" s="798">
        <v>326</v>
      </c>
      <c r="D30" s="526"/>
      <c r="E30" s="526"/>
      <c r="F30" s="526"/>
      <c r="G30" s="526"/>
      <c r="H30" s="526"/>
      <c r="I30" s="322"/>
      <c r="J30" s="322"/>
      <c r="K30" s="322"/>
      <c r="L30" t="s" s="323">
        <f>IF(D30="","",_xlfn.IFERROR(IF(I30="","",((I30/1000)*V30*X30)*AD30*AJ30),"This intervention is not permitted within the SSM ▲"))</f>
      </c>
      <c r="M30" t="s" s="323">
        <f>IF(I30="","",IF(J30+K30&gt;I30,"Length Error ▲",I30-J30-K30))</f>
      </c>
      <c r="N30" t="s" s="323">
        <f>_xlfn.IFERROR(IF(I30="","",IF(M30="Length Error ▲","Length Error ▲",((M30/1000)*V30*X30)*AD30*AJ30)),"This intervention is not permitted within the SSM ▲")</f>
      </c>
      <c r="O30" s="799"/>
      <c r="P30" s="684"/>
      <c r="Q30" s="380"/>
      <c r="R30" s="219"/>
      <c r="S30" s="381"/>
      <c r="T30" t="s" s="339">
        <f>IF(D30="","",VLOOKUP(D30,'9. All Habitats + Multipliers'!$C$4:$K$102,5,FALSE))</f>
      </c>
      <c r="U30" s="340"/>
      <c r="V30" t="s" s="313">
        <f>IF(T30="","",VLOOKUP(T30,'11. Lists'!$B$47:$D$49,2,FALSE))</f>
      </c>
      <c r="W30" t="s" s="339">
        <f>IF(D30="","",VLOOKUP(D30,'10. Condition and Temporal'!$B$6:$C$103,2,FALSE))</f>
      </c>
      <c r="X30" t="s" s="531">
        <f>IF(W30="","",VLOOKUP(W30,'11. Lists'!$F$47:$G$51,2,FALSE))</f>
      </c>
      <c r="Y30" s="510"/>
      <c r="Z30" s="511"/>
      <c r="AA30" s="794"/>
      <c r="AB30" t="s" s="291">
        <f>IF(F30="","",F30)</f>
      </c>
      <c r="AC30" t="s" s="291">
        <f>IF(AB30="","",VLOOKUP(AB30,'11. Lists'!$F$36:$H$38,2,FALSE))</f>
      </c>
      <c r="AD30" t="s" s="313">
        <f>IF(AB30="","",VLOOKUP(AB30,'11. Lists'!$F$36:$H$38,3,FALSE))</f>
      </c>
      <c r="AE30" t="s" s="285">
        <f>IF(D30="","",((J30/1000)*V30*X30)*AD30)</f>
      </c>
      <c r="AF30" t="s" s="291">
        <f>IF(D30="","",((K30/1000)*V30*X30)*AD30*AJ30)</f>
      </c>
      <c r="AG30" t="s" s="313">
        <f>IF(D30="","",M30)</f>
      </c>
      <c r="AH30" t="s" s="285">
        <f>IF(T30="","",VLOOKUP(T30,'11. Lists'!$B$47:$D$49,3,FALSE))</f>
      </c>
      <c r="AI30" t="s" s="291">
        <f>IF(D30="","",VLOOKUP(D30,'10. Condition and Temporal'!$B$6:$L$103,4,FALSE))</f>
      </c>
      <c r="AJ30" t="s" s="795">
        <v>327</v>
      </c>
      <c r="AK30" t="s" s="796">
        <v>327</v>
      </c>
      <c r="AL30" s="774"/>
      <c r="AM30" s="774"/>
      <c r="AN30" s="784"/>
      <c r="AO30" s="161"/>
      <c r="AP30" s="161"/>
      <c r="AQ30" s="161"/>
      <c r="AR30" t="s" s="792">
        <f>IF(D30="","",_xlfn.IFERROR(IF(I30="","",((I30/1000)*V30*X30)*AD30),"This intervention is not permitted within the SSM ▲"))</f>
      </c>
      <c r="AS30" s="161"/>
      <c r="AT30" s="161"/>
      <c r="AU30" s="161"/>
      <c r="AV30" s="161"/>
      <c r="AW30" s="161"/>
      <c r="AX30" s="161"/>
      <c r="AY30" s="161"/>
      <c r="AZ30" s="161"/>
      <c r="BA30" s="161"/>
      <c r="BB30" s="161"/>
      <c r="BC30" s="161"/>
      <c r="BD30" s="161"/>
      <c r="BE30" s="161"/>
      <c r="BF30" s="161"/>
      <c r="BG30" s="161"/>
      <c r="BH30" s="161"/>
      <c r="BI30" s="161"/>
      <c r="BJ30" s="161"/>
      <c r="BK30" s="161"/>
      <c r="BL30" s="161"/>
      <c r="BM30" s="161"/>
      <c r="BN30" s="161"/>
      <c r="BO30" s="161"/>
      <c r="BP30" s="161"/>
      <c r="BQ30" s="161"/>
      <c r="BR30" s="161"/>
      <c r="BS30" s="161"/>
      <c r="BT30" s="161"/>
      <c r="BU30" s="161"/>
      <c r="BV30" s="161"/>
      <c r="BW30" s="161"/>
      <c r="BX30" s="664"/>
    </row>
    <row r="31" ht="14.05" customHeight="1">
      <c r="A31" s="347"/>
      <c r="B31" s="348"/>
      <c r="C31" s="348"/>
      <c r="D31" s="349"/>
      <c r="E31" s="350"/>
      <c r="F31" s="350"/>
      <c r="G31" s="351"/>
      <c r="H31" t="s" s="685">
        <v>300</v>
      </c>
      <c r="I31" s="686">
        <f>SUM(I11:I30)</f>
        <v>0</v>
      </c>
      <c r="J31" s="281">
        <f>SUM(J11:J30)</f>
        <v>0</v>
      </c>
      <c r="K31" s="687">
        <f>SUM(K11:K30)</f>
        <v>0</v>
      </c>
      <c r="L31" s="396">
        <f>SUM(L11:L30)</f>
        <v>0</v>
      </c>
      <c r="M31" s="281">
        <f>SUM(M11:M30)</f>
        <v>0</v>
      </c>
      <c r="N31" s="398">
        <f>SUM(N11:N30)</f>
        <v>0</v>
      </c>
      <c r="O31" s="355"/>
      <c r="P31" s="348"/>
      <c r="Q31" s="161"/>
      <c r="R31" s="219"/>
      <c r="S31" s="161"/>
      <c r="T31" s="348"/>
      <c r="U31" s="348"/>
      <c r="V31" s="356"/>
      <c r="W31" s="348"/>
      <c r="X31" s="348"/>
      <c r="Y31" s="356"/>
      <c r="Z31" s="356"/>
      <c r="AA31" s="356"/>
      <c r="AB31" s="356"/>
      <c r="AC31" s="356"/>
      <c r="AD31" s="356"/>
      <c r="AE31" s="356"/>
      <c r="AF31" s="356"/>
      <c r="AG31" s="356"/>
      <c r="AH31" s="356"/>
      <c r="AI31" s="356"/>
      <c r="AJ31" s="800"/>
      <c r="AK31" s="774"/>
      <c r="AL31" s="774"/>
      <c r="AM31" s="774"/>
      <c r="AN31" s="774"/>
      <c r="AO31" s="161"/>
      <c r="AP31" s="161"/>
      <c r="AQ31" s="161"/>
      <c r="AR31" s="640"/>
      <c r="AS31" s="161"/>
      <c r="AT31" s="161"/>
      <c r="AU31" s="161"/>
      <c r="AV31" s="161"/>
      <c r="AW31" s="161"/>
      <c r="AX31" s="161"/>
      <c r="AY31" s="161"/>
      <c r="AZ31" s="161"/>
      <c r="BA31" s="161"/>
      <c r="BB31" s="161"/>
      <c r="BC31" s="161"/>
      <c r="BD31" s="161"/>
      <c r="BE31" s="161"/>
      <c r="BF31" s="161"/>
      <c r="BG31" s="161"/>
      <c r="BH31" s="161"/>
      <c r="BI31" s="161"/>
      <c r="BJ31" s="161"/>
      <c r="BK31" s="161"/>
      <c r="BL31" s="161"/>
      <c r="BM31" s="161"/>
      <c r="BN31" s="161"/>
      <c r="BO31" s="161"/>
      <c r="BP31" s="161"/>
      <c r="BQ31" s="161"/>
      <c r="BR31" s="161"/>
      <c r="BS31" s="161"/>
      <c r="BT31" s="161"/>
      <c r="BU31" s="161"/>
      <c r="BV31" s="161"/>
      <c r="BW31" s="161"/>
      <c r="BX31" s="664"/>
    </row>
    <row r="32" ht="26.1" customHeight="1">
      <c r="A32" s="347"/>
      <c r="B32" s="161"/>
      <c r="C32" s="161"/>
      <c r="D32" s="357"/>
      <c r="E32" s="358"/>
      <c r="F32" s="358"/>
      <c r="G32" s="359"/>
      <c r="H32" t="s" s="365">
        <v>158</v>
      </c>
      <c r="I32" t="s" s="366">
        <f>IF(I31&lt;J31+K31,"Error - Lengths Retained and Enhanced Exceed Total Length ▲","Lengths Acceptable ✓")</f>
        <v>301</v>
      </c>
      <c r="J32" s="367"/>
      <c r="K32" s="367"/>
      <c r="L32" s="367"/>
      <c r="M32" s="367"/>
      <c r="N32" s="368"/>
      <c r="O32" s="364">
        <v>0</v>
      </c>
      <c r="P32" s="161"/>
      <c r="Q32" s="161"/>
      <c r="R32" s="219"/>
      <c r="S32" s="161"/>
      <c r="T32" s="161"/>
      <c r="U32" s="161"/>
      <c r="V32" s="161"/>
      <c r="W32" s="161"/>
      <c r="X32" s="161"/>
      <c r="Y32" s="161"/>
      <c r="Z32" s="161"/>
      <c r="AA32" s="161"/>
      <c r="AB32" s="161"/>
      <c r="AC32" s="161"/>
      <c r="AD32" s="161"/>
      <c r="AE32" s="161"/>
      <c r="AF32" s="161"/>
      <c r="AG32" s="161"/>
      <c r="AH32" s="161"/>
      <c r="AI32" s="161"/>
      <c r="AJ32" s="774"/>
      <c r="AK32" s="774"/>
      <c r="AL32" s="774"/>
      <c r="AM32" s="774"/>
      <c r="AN32" s="774"/>
      <c r="AO32" s="161"/>
      <c r="AP32" s="161"/>
      <c r="AQ32" s="161"/>
      <c r="AR32" s="640"/>
      <c r="AS32" s="161"/>
      <c r="AT32" s="161"/>
      <c r="AU32" s="161"/>
      <c r="AV32" s="161"/>
      <c r="AW32" s="161"/>
      <c r="AX32" s="161"/>
      <c r="AY32" s="161"/>
      <c r="AZ32" s="161"/>
      <c r="BA32" s="161"/>
      <c r="BB32" s="161"/>
      <c r="BC32" s="161"/>
      <c r="BD32" s="161"/>
      <c r="BE32" s="161"/>
      <c r="BF32" s="161"/>
      <c r="BG32" s="161"/>
      <c r="BH32" s="161"/>
      <c r="BI32" s="161"/>
      <c r="BJ32" s="161"/>
      <c r="BK32" s="161"/>
      <c r="BL32" s="161"/>
      <c r="BM32" s="161"/>
      <c r="BN32" s="161"/>
      <c r="BO32" s="161"/>
      <c r="BP32" s="161"/>
      <c r="BQ32" s="161"/>
      <c r="BR32" s="161"/>
      <c r="BS32" s="161"/>
      <c r="BT32" s="161"/>
      <c r="BU32" s="161"/>
      <c r="BV32" s="161"/>
      <c r="BW32" s="161"/>
      <c r="BX32" s="664"/>
    </row>
    <row r="33" ht="15" customHeight="1">
      <c r="A33" s="347"/>
      <c r="B33" s="161"/>
      <c r="C33" s="161"/>
      <c r="D33" s="357"/>
      <c r="E33" s="358"/>
      <c r="F33" s="358"/>
      <c r="G33" s="359"/>
      <c r="H33" t="s" s="369">
        <v>158</v>
      </c>
      <c r="I33" t="s" s="688">
        <f>IF(I31&lt;5000,"Lengths Acceptable ✓",IF(I31&gt;=5000,"Length Exceeds Length Appropriate for Small Sites Metric ▲"))</f>
        <v>301</v>
      </c>
      <c r="J33" s="689"/>
      <c r="K33" s="689"/>
      <c r="L33" s="689"/>
      <c r="M33" s="689"/>
      <c r="N33" s="690"/>
      <c r="O33" s="364">
        <f>COUNTIF(L11:N30,"*"&amp;"error"&amp;"*")</f>
        <v>0</v>
      </c>
      <c r="P33" s="161"/>
      <c r="Q33" s="161"/>
      <c r="R33" s="219"/>
      <c r="S33" s="161"/>
      <c r="T33" s="161"/>
      <c r="U33" s="161"/>
      <c r="V33" s="161"/>
      <c r="W33" s="161"/>
      <c r="X33" s="161"/>
      <c r="Y33" s="161"/>
      <c r="Z33" s="161"/>
      <c r="AA33" s="161"/>
      <c r="AB33" s="161"/>
      <c r="AC33" s="161"/>
      <c r="AD33" s="161"/>
      <c r="AE33" s="161"/>
      <c r="AF33" s="161"/>
      <c r="AG33" s="161"/>
      <c r="AH33" s="161"/>
      <c r="AI33" s="161"/>
      <c r="AJ33" s="774"/>
      <c r="AK33" s="774"/>
      <c r="AL33" s="774"/>
      <c r="AM33" s="774"/>
      <c r="AN33" s="774"/>
      <c r="AO33" s="161"/>
      <c r="AP33" s="161"/>
      <c r="AQ33" s="161"/>
      <c r="AR33" s="640"/>
      <c r="AS33" s="161"/>
      <c r="AT33" s="161"/>
      <c r="AU33" s="161"/>
      <c r="AV33" s="161"/>
      <c r="AW33" s="161"/>
      <c r="AX33" s="161"/>
      <c r="AY33" s="161"/>
      <c r="AZ33" s="161"/>
      <c r="BA33" s="161"/>
      <c r="BB33" s="161"/>
      <c r="BC33" s="161"/>
      <c r="BD33" s="161"/>
      <c r="BE33" s="161"/>
      <c r="BF33" s="161"/>
      <c r="BG33" s="161"/>
      <c r="BH33" s="161"/>
      <c r="BI33" s="161"/>
      <c r="BJ33" s="161"/>
      <c r="BK33" s="161"/>
      <c r="BL33" s="161"/>
      <c r="BM33" s="161"/>
      <c r="BN33" s="161"/>
      <c r="BO33" s="161"/>
      <c r="BP33" s="161"/>
      <c r="BQ33" s="161"/>
      <c r="BR33" s="161"/>
      <c r="BS33" s="161"/>
      <c r="BT33" s="161"/>
      <c r="BU33" s="161"/>
      <c r="BV33" s="161"/>
      <c r="BW33" s="161"/>
      <c r="BX33" s="664"/>
    </row>
    <row r="34" ht="14.05" customHeight="1">
      <c r="A34" s="347"/>
      <c r="B34" s="161"/>
      <c r="C34" s="161"/>
      <c r="D34" s="357"/>
      <c r="E34" s="358"/>
      <c r="F34" s="358"/>
      <c r="G34" s="358"/>
      <c r="H34" s="350"/>
      <c r="I34" s="350"/>
      <c r="J34" s="350"/>
      <c r="K34" s="350"/>
      <c r="L34" s="350"/>
      <c r="M34" s="350"/>
      <c r="N34" s="350"/>
      <c r="O34" s="460"/>
      <c r="P34" s="161"/>
      <c r="Q34" s="161"/>
      <c r="R34" t="s" s="373">
        <v>99</v>
      </c>
      <c r="S34" s="161"/>
      <c r="T34" s="161"/>
      <c r="U34" s="161"/>
      <c r="V34" s="161"/>
      <c r="W34" s="161"/>
      <c r="X34" s="161"/>
      <c r="Y34" s="161"/>
      <c r="Z34" s="161"/>
      <c r="AA34" s="161"/>
      <c r="AB34" s="161"/>
      <c r="AC34" s="161"/>
      <c r="AD34" s="161"/>
      <c r="AE34" s="161"/>
      <c r="AF34" s="161"/>
      <c r="AG34" s="161"/>
      <c r="AH34" s="161"/>
      <c r="AI34" s="161"/>
      <c r="AJ34" s="774"/>
      <c r="AK34" s="774"/>
      <c r="AL34" s="774"/>
      <c r="AM34" s="774"/>
      <c r="AN34" s="774"/>
      <c r="AO34" s="161"/>
      <c r="AP34" s="161"/>
      <c r="AQ34" s="161"/>
      <c r="AR34" s="640"/>
      <c r="AS34" s="161"/>
      <c r="AT34" s="161"/>
      <c r="AU34" s="161"/>
      <c r="AV34" s="161"/>
      <c r="AW34" s="161"/>
      <c r="AX34" s="161"/>
      <c r="AY34" s="161"/>
      <c r="AZ34" s="161"/>
      <c r="BA34" s="161"/>
      <c r="BB34" s="161"/>
      <c r="BC34" s="161"/>
      <c r="BD34" s="161"/>
      <c r="BE34" s="161"/>
      <c r="BF34" s="161"/>
      <c r="BG34" s="161"/>
      <c r="BH34" s="161"/>
      <c r="BI34" s="161"/>
      <c r="BJ34" s="161"/>
      <c r="BK34" s="161"/>
      <c r="BL34" s="161"/>
      <c r="BM34" s="161"/>
      <c r="BN34" s="161"/>
      <c r="BO34" s="161"/>
      <c r="BP34" s="161"/>
      <c r="BQ34" s="161"/>
      <c r="BR34" s="161"/>
      <c r="BS34" s="161"/>
      <c r="BT34" s="161"/>
      <c r="BU34" s="161"/>
      <c r="BV34" s="161"/>
      <c r="BW34" s="161"/>
      <c r="BX34" s="664"/>
    </row>
    <row r="35" ht="21" customHeight="1">
      <c r="A35" s="347"/>
      <c r="B35" t="s" s="374">
        <v>162</v>
      </c>
      <c r="C35" s="161"/>
      <c r="D35" s="375"/>
      <c r="E35" s="358"/>
      <c r="F35" s="358"/>
      <c r="G35" s="358"/>
      <c r="H35" s="161"/>
      <c r="I35" s="460"/>
      <c r="J35" s="161"/>
      <c r="K35" s="161"/>
      <c r="L35" s="161"/>
      <c r="M35" s="161"/>
      <c r="N35" s="161"/>
      <c r="O35" s="161"/>
      <c r="P35" s="161"/>
      <c r="Q35" s="161"/>
      <c r="R35" s="219"/>
      <c r="S35" s="161"/>
      <c r="T35" s="161"/>
      <c r="U35" s="161"/>
      <c r="V35" s="161"/>
      <c r="W35" s="161"/>
      <c r="X35" s="161"/>
      <c r="Y35" s="161"/>
      <c r="Z35" s="161"/>
      <c r="AA35" s="161"/>
      <c r="AB35" s="161"/>
      <c r="AC35" s="161"/>
      <c r="AD35" s="161"/>
      <c r="AE35" s="161"/>
      <c r="AF35" s="161"/>
      <c r="AG35" s="161"/>
      <c r="AH35" s="161"/>
      <c r="AI35" s="161"/>
      <c r="AJ35" s="774"/>
      <c r="AK35" s="774"/>
      <c r="AL35" s="774"/>
      <c r="AM35" s="774"/>
      <c r="AN35" s="774"/>
      <c r="AO35" s="161"/>
      <c r="AP35" s="161"/>
      <c r="AQ35" s="161"/>
      <c r="AR35" s="640"/>
      <c r="AS35" s="161"/>
      <c r="AT35" s="161"/>
      <c r="AU35" s="161"/>
      <c r="AV35" s="161"/>
      <c r="AW35" s="161"/>
      <c r="AX35" s="161"/>
      <c r="AY35" s="161"/>
      <c r="AZ35" s="161"/>
      <c r="BA35" s="161"/>
      <c r="BB35" s="161"/>
      <c r="BC35" s="161"/>
      <c r="BD35" s="161"/>
      <c r="BE35" s="161"/>
      <c r="BF35" s="161"/>
      <c r="BG35" s="161"/>
      <c r="BH35" s="161"/>
      <c r="BI35" s="161"/>
      <c r="BJ35" s="161"/>
      <c r="BK35" s="161"/>
      <c r="BL35" s="161"/>
      <c r="BM35" s="161"/>
      <c r="BN35" s="161"/>
      <c r="BO35" s="161"/>
      <c r="BP35" s="161"/>
      <c r="BQ35" s="161"/>
      <c r="BR35" s="161"/>
      <c r="BS35" s="161"/>
      <c r="BT35" s="161"/>
      <c r="BU35" s="161"/>
      <c r="BV35" s="161"/>
      <c r="BW35" s="161"/>
      <c r="BX35" s="664"/>
    </row>
    <row r="36" ht="15.75" customHeight="1">
      <c r="A36" s="347"/>
      <c r="B36" s="378"/>
      <c r="C36" s="378"/>
      <c r="D36" s="378"/>
      <c r="E36" s="378"/>
      <c r="F36" s="378"/>
      <c r="G36" s="378"/>
      <c r="H36" s="378"/>
      <c r="I36" s="378"/>
      <c r="J36" s="378"/>
      <c r="K36" s="378"/>
      <c r="L36" s="378"/>
      <c r="M36" s="378"/>
      <c r="N36" s="378"/>
      <c r="O36" s="378"/>
      <c r="P36" s="378"/>
      <c r="Q36" s="161"/>
      <c r="R36" s="219"/>
      <c r="S36" s="161"/>
      <c r="T36" s="378"/>
      <c r="U36" s="378"/>
      <c r="V36" s="378"/>
      <c r="W36" s="378"/>
      <c r="X36" s="378"/>
      <c r="Y36" s="161"/>
      <c r="Z36" s="161"/>
      <c r="AA36" s="161"/>
      <c r="AB36" s="378"/>
      <c r="AC36" s="378"/>
      <c r="AD36" s="378"/>
      <c r="AE36" s="378"/>
      <c r="AF36" s="378"/>
      <c r="AG36" s="378"/>
      <c r="AH36" s="378"/>
      <c r="AI36" s="378"/>
      <c r="AJ36" s="774"/>
      <c r="AK36" s="774"/>
      <c r="AL36" s="774"/>
      <c r="AM36" s="774"/>
      <c r="AN36" s="774"/>
      <c r="AO36" s="161"/>
      <c r="AP36" s="161"/>
      <c r="AQ36" s="161"/>
      <c r="AR36" s="640"/>
      <c r="AS36" s="161"/>
      <c r="AT36" s="161"/>
      <c r="AU36" s="161"/>
      <c r="AV36" s="161"/>
      <c r="AW36" s="161"/>
      <c r="AX36" s="161"/>
      <c r="AY36" s="161"/>
      <c r="AZ36" s="161"/>
      <c r="BA36" s="161"/>
      <c r="BB36" s="161"/>
      <c r="BC36" s="161"/>
      <c r="BD36" s="161"/>
      <c r="BE36" s="161"/>
      <c r="BF36" s="161"/>
      <c r="BG36" s="161"/>
      <c r="BH36" s="161"/>
      <c r="BI36" s="161"/>
      <c r="BJ36" s="161"/>
      <c r="BK36" s="161"/>
      <c r="BL36" s="161"/>
      <c r="BM36" s="161"/>
      <c r="BN36" s="161"/>
      <c r="BO36" s="161"/>
      <c r="BP36" s="161"/>
      <c r="BQ36" s="161"/>
      <c r="BR36" s="161"/>
      <c r="BS36" s="161"/>
      <c r="BT36" s="161"/>
      <c r="BU36" s="161"/>
      <c r="BV36" s="161"/>
      <c r="BW36" s="161"/>
      <c r="BX36" s="664"/>
    </row>
    <row r="37" ht="16.35" customHeight="1">
      <c r="A37" s="379"/>
      <c r="B37" t="s" s="202">
        <v>89</v>
      </c>
      <c r="C37" s="244"/>
      <c r="D37" s="245"/>
      <c r="E37" t="s" s="202">
        <v>163</v>
      </c>
      <c r="F37" s="244"/>
      <c r="G37" s="245"/>
      <c r="H37" t="s" s="243">
        <v>164</v>
      </c>
      <c r="I37" t="s" s="246">
        <v>302</v>
      </c>
      <c r="J37" s="247"/>
      <c r="K37" s="248"/>
      <c r="L37" t="s" s="202">
        <v>328</v>
      </c>
      <c r="M37" s="244"/>
      <c r="N37" s="245"/>
      <c r="O37" t="s" s="202">
        <v>112</v>
      </c>
      <c r="P37" s="245"/>
      <c r="Q37" s="380"/>
      <c r="R37" s="219"/>
      <c r="S37" s="381"/>
      <c r="T37" t="s" s="801">
        <v>113</v>
      </c>
      <c r="U37" s="802"/>
      <c r="V37" s="803"/>
      <c r="W37" t="s" s="483">
        <v>114</v>
      </c>
      <c r="X37" s="777"/>
      <c r="Y37" s="778"/>
      <c r="Z37" s="779"/>
      <c r="AA37" s="780"/>
      <c r="AB37" t="s" s="483">
        <v>115</v>
      </c>
      <c r="AC37" s="781"/>
      <c r="AD37" s="777"/>
      <c r="AE37" t="s" s="483">
        <v>167</v>
      </c>
      <c r="AF37" s="777"/>
      <c r="AG37" t="s" s="483">
        <v>168</v>
      </c>
      <c r="AH37" s="777"/>
      <c r="AI37" t="s" s="804">
        <v>329</v>
      </c>
      <c r="AJ37" s="805"/>
      <c r="AK37" s="774"/>
      <c r="AL37" s="774"/>
      <c r="AM37" s="774"/>
      <c r="AN37" s="774"/>
      <c r="AO37" s="161"/>
      <c r="AP37" s="161"/>
      <c r="AQ37" s="161"/>
      <c r="AR37" s="640"/>
      <c r="AS37" s="161"/>
      <c r="AT37" s="161"/>
      <c r="AU37" s="161"/>
      <c r="AV37" s="161"/>
      <c r="AW37" s="161"/>
      <c r="AX37" s="161"/>
      <c r="AY37" s="161"/>
      <c r="AZ37" s="161"/>
      <c r="BA37" s="161"/>
      <c r="BB37" s="161"/>
      <c r="BC37" s="161"/>
      <c r="BD37" s="161"/>
      <c r="BE37" s="161"/>
      <c r="BF37" s="161"/>
      <c r="BG37" s="161"/>
      <c r="BH37" s="161"/>
      <c r="BI37" s="161"/>
      <c r="BJ37" s="161"/>
      <c r="BK37" s="161"/>
      <c r="BL37" s="161"/>
      <c r="BM37" s="161"/>
      <c r="BN37" s="161"/>
      <c r="BO37" s="161"/>
      <c r="BP37" s="161"/>
      <c r="BQ37" s="161"/>
      <c r="BR37" s="161"/>
      <c r="BS37" s="161"/>
      <c r="BT37" s="161"/>
      <c r="BU37" s="161"/>
      <c r="BV37" s="161"/>
      <c r="BW37" s="161"/>
      <c r="BX37" s="664"/>
    </row>
    <row r="38" ht="31.5" customHeight="1">
      <c r="A38" s="379"/>
      <c r="B38" s="382"/>
      <c r="C38" t="s" s="265">
        <v>119</v>
      </c>
      <c r="D38" t="s" s="266">
        <v>169</v>
      </c>
      <c r="E38" t="s" s="230">
        <v>170</v>
      </c>
      <c r="F38" t="s" s="383">
        <v>171</v>
      </c>
      <c r="G38" s="384"/>
      <c r="H38" s="259"/>
      <c r="I38" s="262"/>
      <c r="J38" s="263"/>
      <c r="K38" s="264"/>
      <c r="L38" s="806"/>
      <c r="M38" s="807"/>
      <c r="N38" s="785"/>
      <c r="O38" t="s" s="230">
        <v>127</v>
      </c>
      <c r="P38" t="s" s="266">
        <v>128</v>
      </c>
      <c r="Q38" s="380"/>
      <c r="R38" s="219"/>
      <c r="S38" s="381"/>
      <c r="T38" t="s" s="483">
        <v>129</v>
      </c>
      <c r="U38" s="781"/>
      <c r="V38" t="s" s="484">
        <v>130</v>
      </c>
      <c r="W38" t="s" s="483">
        <v>131</v>
      </c>
      <c r="X38" t="s" s="484">
        <v>130</v>
      </c>
      <c r="Y38" s="789"/>
      <c r="Z38" s="790"/>
      <c r="AA38" s="808"/>
      <c r="AB38" t="s" s="483">
        <v>115</v>
      </c>
      <c r="AC38" t="s" s="485">
        <v>115</v>
      </c>
      <c r="AD38" t="s" s="484">
        <v>132</v>
      </c>
      <c r="AE38" t="s" s="483">
        <v>172</v>
      </c>
      <c r="AF38" t="s" s="484">
        <v>173</v>
      </c>
      <c r="AG38" t="s" s="483">
        <v>174</v>
      </c>
      <c r="AH38" t="s" s="484">
        <v>175</v>
      </c>
      <c r="AI38" s="809"/>
      <c r="AJ38" s="805"/>
      <c r="AK38" s="774"/>
      <c r="AL38" s="774"/>
      <c r="AM38" s="774"/>
      <c r="AN38" s="774"/>
      <c r="AO38" s="161"/>
      <c r="AP38" s="161"/>
      <c r="AQ38" s="161"/>
      <c r="AR38" s="640"/>
      <c r="AS38" s="161"/>
      <c r="AT38" s="161"/>
      <c r="AU38" s="161"/>
      <c r="AV38" s="161"/>
      <c r="AW38" s="161"/>
      <c r="AX38" s="161"/>
      <c r="AY38" s="161"/>
      <c r="AZ38" s="161"/>
      <c r="BA38" s="161"/>
      <c r="BB38" s="161"/>
      <c r="BC38" s="161"/>
      <c r="BD38" s="161"/>
      <c r="BE38" s="161"/>
      <c r="BF38" s="161"/>
      <c r="BG38" s="161"/>
      <c r="BH38" s="161"/>
      <c r="BI38" s="161"/>
      <c r="BJ38" s="161"/>
      <c r="BK38" s="161"/>
      <c r="BL38" s="161"/>
      <c r="BM38" s="161"/>
      <c r="BN38" s="161"/>
      <c r="BO38" s="161"/>
      <c r="BP38" s="161"/>
      <c r="BQ38" s="161"/>
      <c r="BR38" s="161"/>
      <c r="BS38" s="161"/>
      <c r="BT38" s="161"/>
      <c r="BU38" s="161"/>
      <c r="BV38" s="161"/>
      <c r="BW38" s="161"/>
      <c r="BX38" s="664"/>
    </row>
    <row r="39" ht="15.6" customHeight="1">
      <c r="A39" s="379"/>
      <c r="B39" s="272">
        <v>1</v>
      </c>
      <c r="C39" t="s" s="793">
        <v>326</v>
      </c>
      <c r="D39" s="275"/>
      <c r="E39" t="s" s="691">
        <f>IF(D39="","",VLOOKUP(D39,'10. Condition and Temporal'!$B$6:$D$103,3,FALSE))</f>
      </c>
      <c r="F39" s="810"/>
      <c r="G39" s="391"/>
      <c r="H39" s="694"/>
      <c r="I39" s="393"/>
      <c r="J39" s="394"/>
      <c r="K39" s="395"/>
      <c r="L39" t="s" s="418">
        <f>IF(D39="","",_xlfn.IFERROR(IF(I39="","",((I39/1000)*(V39*X39))*(AH39*AF39)*AD39*AI39),"This intervention is not permitted within the SSM ▲"))</f>
      </c>
      <c r="M39" s="413"/>
      <c r="N39" s="414"/>
      <c r="O39" s="399"/>
      <c r="P39" s="275"/>
      <c r="Q39" s="400"/>
      <c r="R39" s="219"/>
      <c r="S39" s="381"/>
      <c r="T39" t="s" s="508">
        <f>IF(D39="","",VLOOKUP(D39,'9. All Habitats + Multipliers'!$C$4:$K$102,5,FALSE))</f>
      </c>
      <c r="U39" s="811"/>
      <c r="V39" t="s" s="509">
        <f>IF(T39="","",VLOOKUP(T39,'11. Lists'!$B$47:$D$49,2,FALSE))</f>
      </c>
      <c r="W39" t="s" s="508">
        <f>IF(F39="","",F39)</f>
      </c>
      <c r="X39" t="s" s="509">
        <f>IF(W39="","",VLOOKUP(W39,'11. Lists'!$F$47:$G$51,2,FALSE))</f>
      </c>
      <c r="Y39" s="510"/>
      <c r="Z39" s="511"/>
      <c r="AA39" s="512"/>
      <c r="AB39" t="s" s="508">
        <f>IF(H39="","",H39)</f>
      </c>
      <c r="AC39" t="s" s="516">
        <f>IF(AB39="","",VLOOKUP(AB39,'11. Lists'!$F$36:$H$38,2,FALSE))</f>
      </c>
      <c r="AD39" t="s" s="509">
        <f>IF(AB39="","",VLOOKUP(AB39,'11. Lists'!$F$36:$H$38,3,FALSE))</f>
      </c>
      <c r="AE39" t="s" s="508">
        <f>IF(F39="","",IF(F39="Moderate",VLOOKUP(D39,'10. Condition and Temporal'!$B$6:$L$103,6,FALSE),IF(F39="Good",VLOOKUP(D39,'10. Condition and Temporal'!$B$6:$L$103,7,FALSE),IF(F39="Poor",VLOOKUP(D39,'10. Condition and Temporal'!$B$6:$L$103,8,FALSE),IF(F39="Condition Assessment N/A",VLOOKUP(D39,'10. Condition and Temporal'!$B$6:$L$103,9,FALSE),IF(F39="N/A - Other",VLOOKUP(D39,'10. Condition and Temporal'!$B$6:$L$103,10,FALSE)))))))</f>
      </c>
      <c r="AF39" t="s" s="509">
        <f>IF(AE39="","",VLOOKUP(AE39,'11. Lists'!$I$47:$K$80,3,FALSE))</f>
      </c>
      <c r="AG39" t="s" s="508">
        <f>IF(D39="","",VLOOKUP(D39,'9. All Habitats + Multipliers'!$C$4:$K$102,7,FALSE))</f>
      </c>
      <c r="AH39" t="s" s="509">
        <f>IF(AG39="","",VLOOKUP(AG39,'11. Lists'!$J$35:$K$38,2,FALSE))</f>
      </c>
      <c r="AI39" t="s" s="812">
        <v>327</v>
      </c>
      <c r="AJ39" s="805"/>
      <c r="AK39" s="774"/>
      <c r="AL39" s="774"/>
      <c r="AM39" s="774"/>
      <c r="AN39" s="774"/>
      <c r="AO39" s="161"/>
      <c r="AP39" s="161"/>
      <c r="AQ39" s="161"/>
      <c r="AR39" s="640"/>
      <c r="AS39" s="161"/>
      <c r="AT39" s="161"/>
      <c r="AU39" s="161"/>
      <c r="AV39" s="161"/>
      <c r="AW39" s="161"/>
      <c r="AX39" s="161"/>
      <c r="AY39" s="161"/>
      <c r="AZ39" s="161"/>
      <c r="BA39" s="161"/>
      <c r="BB39" s="161"/>
      <c r="BC39" s="161"/>
      <c r="BD39" s="161"/>
      <c r="BE39" s="161"/>
      <c r="BF39" s="161"/>
      <c r="BG39" s="161"/>
      <c r="BH39" s="161"/>
      <c r="BI39" s="161"/>
      <c r="BJ39" s="161"/>
      <c r="BK39" s="161"/>
      <c r="BL39" s="161"/>
      <c r="BM39" s="161"/>
      <c r="BN39" s="161"/>
      <c r="BO39" s="161"/>
      <c r="BP39" s="161"/>
      <c r="BQ39" s="161"/>
      <c r="BR39" s="161"/>
      <c r="BS39" s="161"/>
      <c r="BT39" s="161"/>
      <c r="BU39" s="161"/>
      <c r="BV39" s="161"/>
      <c r="BW39" s="161"/>
      <c r="BX39" s="664"/>
    </row>
    <row r="40" ht="15.6" customHeight="1">
      <c r="A40" s="379"/>
      <c r="B40" s="296">
        <v>2</v>
      </c>
      <c r="C40" t="s" s="797">
        <v>326</v>
      </c>
      <c r="D40" s="315"/>
      <c r="E40" t="s" s="695">
        <f>IF(D40="","",VLOOKUP(D40,'10. Condition and Temporal'!$B$6:$D$103,3,FALSE))</f>
      </c>
      <c r="F40" s="416"/>
      <c r="G40" s="407"/>
      <c r="H40" s="417"/>
      <c r="I40" s="409"/>
      <c r="J40" s="410"/>
      <c r="K40" s="411"/>
      <c r="L40" t="s" s="418">
        <f>IF(D40="","",_xlfn.IFERROR(IF(I40="","",((I40/1000)*(V40*X40))*(AH40*AF40)*AD40*AI40),"This intervention is not permitted within the SSM ▲"))</f>
      </c>
      <c r="M40" s="413"/>
      <c r="N40" s="414"/>
      <c r="O40" s="415"/>
      <c r="P40" s="315"/>
      <c r="Q40" s="400"/>
      <c r="R40" s="219"/>
      <c r="S40" s="381"/>
      <c r="T40" t="s" s="285">
        <f>IF(D40="","",VLOOKUP(D40,'9. All Habitats + Multipliers'!$C$4:$K$102,5,FALSE))</f>
      </c>
      <c r="U40" s="286"/>
      <c r="V40" t="s" s="313">
        <f>IF(T40="","",VLOOKUP(T40,'11. Lists'!$B$47:$D$49,2,FALSE))</f>
      </c>
      <c r="W40" t="s" s="285">
        <f>IF(F40="","",F40)</f>
      </c>
      <c r="X40" t="s" s="313">
        <f>IF(W40="","",VLOOKUP(W40,'11. Lists'!$F$47:$G$51,2,FALSE))</f>
      </c>
      <c r="Y40" s="510"/>
      <c r="Z40" s="511"/>
      <c r="AA40" s="512"/>
      <c r="AB40" t="s" s="285">
        <f>IF(H40="","",H40)</f>
      </c>
      <c r="AC40" t="s" s="291">
        <f>IF(AB40="","",VLOOKUP(AB40,'11. Lists'!$F$36:$H$38,2,FALSE))</f>
      </c>
      <c r="AD40" t="s" s="313">
        <f>IF(AB40="","",VLOOKUP(AB40,'11. Lists'!$F$36:$H$38,3,FALSE))</f>
      </c>
      <c r="AE40" t="s" s="285">
        <f>IF(F40="","",IF(F40="Moderate",VLOOKUP(D40,'10. Condition and Temporal'!$B$6:$L$103,6,FALSE),IF(F40="Good",VLOOKUP(D40,'10. Condition and Temporal'!$B$6:$L$103,7,FALSE),IF(F40="Poor",VLOOKUP(D40,'10. Condition and Temporal'!$B$6:$L$103,8,FALSE),IF(F40="Condition Assessment N/A",VLOOKUP(D40,'10. Condition and Temporal'!$B$6:$L$103,9,FALSE),IF(F40="N/A - Other",VLOOKUP(D40,'10. Condition and Temporal'!$B$6:$L$103,10,FALSE)))))))</f>
      </c>
      <c r="AF40" t="s" s="313">
        <f>IF(AE40="","",VLOOKUP(AE40,'11. Lists'!$I$47:$K$80,3,FALSE))</f>
      </c>
      <c r="AG40" t="s" s="285">
        <f>IF(D40="","",VLOOKUP(D40,'9. All Habitats + Multipliers'!$C$4:$K$102,7,FALSE))</f>
      </c>
      <c r="AH40" t="s" s="313">
        <f>IF(AG40="","",VLOOKUP(AG40,'11. Lists'!$J$35:$K$38,2,FALSE))</f>
      </c>
      <c r="AI40" t="s" s="813">
        <v>327</v>
      </c>
      <c r="AJ40" s="805"/>
      <c r="AK40" s="774"/>
      <c r="AL40" s="774"/>
      <c r="AM40" s="774"/>
      <c r="AN40" s="774"/>
      <c r="AO40" s="161"/>
      <c r="AP40" s="161"/>
      <c r="AQ40" s="161"/>
      <c r="AR40" s="640"/>
      <c r="AS40" s="161"/>
      <c r="AT40" s="161"/>
      <c r="AU40" s="161"/>
      <c r="AV40" s="161"/>
      <c r="AW40" s="161"/>
      <c r="AX40" s="161"/>
      <c r="AY40" s="161"/>
      <c r="AZ40" s="161"/>
      <c r="BA40" s="161"/>
      <c r="BB40" s="161"/>
      <c r="BC40" s="161"/>
      <c r="BD40" s="161"/>
      <c r="BE40" s="161"/>
      <c r="BF40" s="161"/>
      <c r="BG40" s="161"/>
      <c r="BH40" s="161"/>
      <c r="BI40" s="161"/>
      <c r="BJ40" s="161"/>
      <c r="BK40" s="161"/>
      <c r="BL40" s="161"/>
      <c r="BM40" s="161"/>
      <c r="BN40" s="161"/>
      <c r="BO40" s="161"/>
      <c r="BP40" s="161"/>
      <c r="BQ40" s="161"/>
      <c r="BR40" s="161"/>
      <c r="BS40" s="161"/>
      <c r="BT40" s="161"/>
      <c r="BU40" s="161"/>
      <c r="BV40" s="161"/>
      <c r="BW40" s="161"/>
      <c r="BX40" s="664"/>
    </row>
    <row r="41" ht="15.6" customHeight="1">
      <c r="A41" s="379"/>
      <c r="B41" s="296">
        <v>3</v>
      </c>
      <c r="C41" t="s" s="797">
        <v>326</v>
      </c>
      <c r="D41" s="315"/>
      <c r="E41" t="s" s="695">
        <f>IF(D41="","",VLOOKUP(D41,'10. Condition and Temporal'!$B$6:$D$103,3,FALSE))</f>
      </c>
      <c r="F41" s="416"/>
      <c r="G41" s="407"/>
      <c r="H41" s="417"/>
      <c r="I41" s="409"/>
      <c r="J41" s="410"/>
      <c r="K41" s="411"/>
      <c r="L41" t="s" s="418">
        <f>IF(D41="","",_xlfn.IFERROR(IF(I41="","",((I41/1000)*(V41*X41))*(AH41*AF41)*AD41*AI41),"This intervention is not permitted within the SSM ▲"))</f>
      </c>
      <c r="M41" s="413"/>
      <c r="N41" s="414"/>
      <c r="O41" s="415"/>
      <c r="P41" s="315"/>
      <c r="Q41" s="400"/>
      <c r="R41" s="219"/>
      <c r="S41" s="381"/>
      <c r="T41" t="s" s="285">
        <f>IF(D41="","",VLOOKUP(D41,'9. All Habitats + Multipliers'!$C$4:$K$102,5,FALSE))</f>
      </c>
      <c r="U41" s="286"/>
      <c r="V41" t="s" s="313">
        <f>IF(T41="","",VLOOKUP(T41,'11. Lists'!$B$47:$D$49,2,FALSE))</f>
      </c>
      <c r="W41" t="s" s="285">
        <f>IF(F41="","",F41)</f>
      </c>
      <c r="X41" t="s" s="313">
        <f>IF(W41="","",VLOOKUP(W41,'11. Lists'!$F$47:$G$51,2,FALSE))</f>
      </c>
      <c r="Y41" s="510"/>
      <c r="Z41" s="511"/>
      <c r="AA41" s="512"/>
      <c r="AB41" t="s" s="285">
        <f>IF(H41="","",H41)</f>
      </c>
      <c r="AC41" t="s" s="291">
        <f>IF(AB41="","",VLOOKUP(AB41,'11. Lists'!$F$36:$H$38,2,FALSE))</f>
      </c>
      <c r="AD41" t="s" s="313">
        <f>IF(AB41="","",VLOOKUP(AB41,'11. Lists'!$F$36:$H$38,3,FALSE))</f>
      </c>
      <c r="AE41" t="s" s="285">
        <f>IF(F41="","",IF(F41="Moderate",VLOOKUP(D41,'10. Condition and Temporal'!$B$6:$L$103,6,FALSE),IF(F41="Good",VLOOKUP(D41,'10. Condition and Temporal'!$B$6:$L$103,7,FALSE),IF(F41="Poor",VLOOKUP(D41,'10. Condition and Temporal'!$B$6:$L$103,8,FALSE),IF(F41="Condition Assessment N/A",VLOOKUP(D41,'10. Condition and Temporal'!$B$6:$L$103,9,FALSE),IF(F41="N/A - Other",VLOOKUP(D41,'10. Condition and Temporal'!$B$6:$L$103,10,FALSE)))))))</f>
      </c>
      <c r="AF41" t="s" s="313">
        <f>IF(AE41="","",VLOOKUP(AE41,'11. Lists'!$I$47:$K$80,3,FALSE))</f>
      </c>
      <c r="AG41" t="s" s="285">
        <f>IF(D41="","",VLOOKUP(D41,'9. All Habitats + Multipliers'!$C$4:$K$102,7,FALSE))</f>
      </c>
      <c r="AH41" t="s" s="313">
        <f>IF(AG41="","",VLOOKUP(AG41,'11. Lists'!$J$35:$K$38,2,FALSE))</f>
      </c>
      <c r="AI41" t="s" s="813">
        <v>327</v>
      </c>
      <c r="AJ41" s="805"/>
      <c r="AK41" s="774"/>
      <c r="AL41" s="774"/>
      <c r="AM41" s="774"/>
      <c r="AN41" s="774"/>
      <c r="AO41" s="161"/>
      <c r="AP41" s="161"/>
      <c r="AQ41" s="161"/>
      <c r="AR41" s="640"/>
      <c r="AS41" s="161"/>
      <c r="AT41" s="161"/>
      <c r="AU41" s="161"/>
      <c r="AV41" s="161"/>
      <c r="AW41" s="161"/>
      <c r="AX41" s="161"/>
      <c r="AY41" s="161"/>
      <c r="AZ41" s="161"/>
      <c r="BA41" s="161"/>
      <c r="BB41" s="161"/>
      <c r="BC41" s="161"/>
      <c r="BD41" s="161"/>
      <c r="BE41" s="161"/>
      <c r="BF41" s="161"/>
      <c r="BG41" s="161"/>
      <c r="BH41" s="161"/>
      <c r="BI41" s="161"/>
      <c r="BJ41" s="161"/>
      <c r="BK41" s="161"/>
      <c r="BL41" s="161"/>
      <c r="BM41" s="161"/>
      <c r="BN41" s="161"/>
      <c r="BO41" s="161"/>
      <c r="BP41" s="161"/>
      <c r="BQ41" s="161"/>
      <c r="BR41" s="161"/>
      <c r="BS41" s="161"/>
      <c r="BT41" s="161"/>
      <c r="BU41" s="161"/>
      <c r="BV41" s="161"/>
      <c r="BW41" s="161"/>
      <c r="BX41" s="664"/>
    </row>
    <row r="42" ht="15.6" customHeight="1">
      <c r="A42" s="379"/>
      <c r="B42" s="296">
        <v>4</v>
      </c>
      <c r="C42" t="s" s="797">
        <v>326</v>
      </c>
      <c r="D42" s="315"/>
      <c r="E42" t="s" s="695">
        <f>IF(D42="","",VLOOKUP(D42,'10. Condition and Temporal'!$B$6:$D$103,3,FALSE))</f>
      </c>
      <c r="F42" s="416"/>
      <c r="G42" s="407"/>
      <c r="H42" s="417"/>
      <c r="I42" s="409"/>
      <c r="J42" s="410"/>
      <c r="K42" s="411"/>
      <c r="L42" t="s" s="418">
        <f>IF(D42="","",_xlfn.IFERROR(IF(I42="","",((I42/1000)*(V42*X42))*(AH42*AF42)*AD42*AI42),"This intervention is not permitted within the SSM ▲"))</f>
      </c>
      <c r="M42" s="413"/>
      <c r="N42" s="414"/>
      <c r="O42" s="415"/>
      <c r="P42" s="315"/>
      <c r="Q42" s="400"/>
      <c r="R42" s="219"/>
      <c r="S42" s="381"/>
      <c r="T42" t="s" s="285">
        <f>IF(D42="","",VLOOKUP(D42,'9. All Habitats + Multipliers'!$C$4:$K$102,5,FALSE))</f>
      </c>
      <c r="U42" s="286"/>
      <c r="V42" t="s" s="313">
        <f>IF(T42="","",VLOOKUP(T42,'11. Lists'!$B$47:$D$49,2,FALSE))</f>
      </c>
      <c r="W42" t="s" s="285">
        <f>IF(F42="","",F42)</f>
      </c>
      <c r="X42" t="s" s="313">
        <f>IF(W42="","",VLOOKUP(W42,'11. Lists'!$F$47:$G$51,2,FALSE))</f>
      </c>
      <c r="Y42" s="510"/>
      <c r="Z42" s="511"/>
      <c r="AA42" s="512"/>
      <c r="AB42" t="s" s="285">
        <f>IF(H42="","",H42)</f>
      </c>
      <c r="AC42" t="s" s="291">
        <f>IF(AB42="","",VLOOKUP(AB42,'11. Lists'!$F$36:$H$38,2,FALSE))</f>
      </c>
      <c r="AD42" t="s" s="313">
        <f>IF(AB42="","",VLOOKUP(AB42,'11. Lists'!$F$36:$H$38,3,FALSE))</f>
      </c>
      <c r="AE42" t="s" s="285">
        <f>IF(F42="","",IF(F42="Moderate",VLOOKUP(D42,'10. Condition and Temporal'!$B$6:$L$103,6,FALSE),IF(F42="Good",VLOOKUP(D42,'10. Condition and Temporal'!$B$6:$L$103,7,FALSE),IF(F42="Poor",VLOOKUP(D42,'10. Condition and Temporal'!$B$6:$L$103,8,FALSE),IF(F42="Condition Assessment N/A",VLOOKUP(D42,'10. Condition and Temporal'!$B$6:$L$103,9,FALSE),IF(F42="N/A - Other",VLOOKUP(D42,'10. Condition and Temporal'!$B$6:$L$103,10,FALSE)))))))</f>
      </c>
      <c r="AF42" t="s" s="313">
        <f>IF(AE42="","",VLOOKUP(AE42,'11. Lists'!$I$47:$K$80,3,FALSE))</f>
      </c>
      <c r="AG42" t="s" s="285">
        <f>IF(D42="","",VLOOKUP(D42,'9. All Habitats + Multipliers'!$C$4:$K$102,7,FALSE))</f>
      </c>
      <c r="AH42" t="s" s="313">
        <f>IF(AG42="","",VLOOKUP(AG42,'11. Lists'!$J$35:$K$38,2,FALSE))</f>
      </c>
      <c r="AI42" t="s" s="813">
        <v>327</v>
      </c>
      <c r="AJ42" s="805"/>
      <c r="AK42" s="774"/>
      <c r="AL42" s="774"/>
      <c r="AM42" s="774"/>
      <c r="AN42" s="774"/>
      <c r="AO42" s="161"/>
      <c r="AP42" s="161"/>
      <c r="AQ42" s="161"/>
      <c r="AR42" s="640"/>
      <c r="AS42" s="161"/>
      <c r="AT42" s="161"/>
      <c r="AU42" s="161"/>
      <c r="AV42" s="161"/>
      <c r="AW42" s="161"/>
      <c r="AX42" s="161"/>
      <c r="AY42" s="161"/>
      <c r="AZ42" s="161"/>
      <c r="BA42" s="161"/>
      <c r="BB42" s="161"/>
      <c r="BC42" s="161"/>
      <c r="BD42" s="161"/>
      <c r="BE42" s="161"/>
      <c r="BF42" s="161"/>
      <c r="BG42" s="161"/>
      <c r="BH42" s="161"/>
      <c r="BI42" s="161"/>
      <c r="BJ42" s="161"/>
      <c r="BK42" s="161"/>
      <c r="BL42" s="161"/>
      <c r="BM42" s="161"/>
      <c r="BN42" s="161"/>
      <c r="BO42" s="161"/>
      <c r="BP42" s="161"/>
      <c r="BQ42" s="161"/>
      <c r="BR42" s="161"/>
      <c r="BS42" s="161"/>
      <c r="BT42" s="161"/>
      <c r="BU42" s="161"/>
      <c r="BV42" s="161"/>
      <c r="BW42" s="161"/>
      <c r="BX42" s="664"/>
    </row>
    <row r="43" ht="15.6" customHeight="1">
      <c r="A43" s="379"/>
      <c r="B43" s="296">
        <v>5</v>
      </c>
      <c r="C43" t="s" s="797">
        <v>326</v>
      </c>
      <c r="D43" s="315"/>
      <c r="E43" t="s" s="695">
        <f>IF(D43="","",VLOOKUP(D43,'10. Condition and Temporal'!$B$6:$D$103,3,FALSE))</f>
      </c>
      <c r="F43" s="416"/>
      <c r="G43" s="407"/>
      <c r="H43" s="417"/>
      <c r="I43" s="409"/>
      <c r="J43" s="410"/>
      <c r="K43" s="411"/>
      <c r="L43" t="s" s="418">
        <f>IF(D43="","",_xlfn.IFERROR(IF(I43="","",((I43/1000)*(V43*X43))*(AH43*AF43)*AD43*AI43),"This intervention is not permitted within the SSM ▲"))</f>
      </c>
      <c r="M43" s="413"/>
      <c r="N43" s="414"/>
      <c r="O43" s="415"/>
      <c r="P43" s="315"/>
      <c r="Q43" s="380"/>
      <c r="R43" s="219"/>
      <c r="S43" s="381"/>
      <c r="T43" t="s" s="285">
        <f>IF(D43="","",VLOOKUP(D43,'9. All Habitats + Multipliers'!$C$4:$K$102,5,FALSE))</f>
      </c>
      <c r="U43" s="286"/>
      <c r="V43" t="s" s="313">
        <f>IF(T43="","",VLOOKUP(T43,'11. Lists'!$B$47:$D$49,2,FALSE))</f>
      </c>
      <c r="W43" t="s" s="285">
        <f>IF(F43="","",F43)</f>
      </c>
      <c r="X43" t="s" s="313">
        <f>IF(W43="","",VLOOKUP(W43,'11. Lists'!$F$47:$G$51,2,FALSE))</f>
      </c>
      <c r="Y43" s="510"/>
      <c r="Z43" s="511"/>
      <c r="AA43" s="512"/>
      <c r="AB43" t="s" s="285">
        <f>IF(H43="","",H43)</f>
      </c>
      <c r="AC43" t="s" s="291">
        <f>IF(AB43="","",VLOOKUP(AB43,'11. Lists'!$F$36:$H$38,2,FALSE))</f>
      </c>
      <c r="AD43" t="s" s="313">
        <f>IF(AB43="","",VLOOKUP(AB43,'11. Lists'!$F$36:$H$38,3,FALSE))</f>
      </c>
      <c r="AE43" t="s" s="285">
        <f>IF(F43="","",IF(F43="Moderate",VLOOKUP(D43,'10. Condition and Temporal'!$B$6:$L$103,6,FALSE),IF(F43="Good",VLOOKUP(D43,'10. Condition and Temporal'!$B$6:$L$103,7,FALSE),IF(F43="Poor",VLOOKUP(D43,'10. Condition and Temporal'!$B$6:$L$103,8,FALSE),IF(F43="Condition Assessment N/A",VLOOKUP(D43,'10. Condition and Temporal'!$B$6:$L$103,9,FALSE),IF(F43="N/A - Other",VLOOKUP(D43,'10. Condition and Temporal'!$B$6:$L$103,10,FALSE)))))))</f>
      </c>
      <c r="AF43" t="s" s="313">
        <f>IF(AE43="","",VLOOKUP(AE43,'11. Lists'!$I$47:$K$80,3,FALSE))</f>
      </c>
      <c r="AG43" t="s" s="285">
        <f>IF(D43="","",VLOOKUP(D43,'9. All Habitats + Multipliers'!$C$4:$K$102,7,FALSE))</f>
      </c>
      <c r="AH43" t="s" s="313">
        <f>IF(AG43="","",VLOOKUP(AG43,'11. Lists'!$J$35:$K$38,2,FALSE))</f>
      </c>
      <c r="AI43" t="s" s="813">
        <v>327</v>
      </c>
      <c r="AJ43" s="805"/>
      <c r="AK43" s="774"/>
      <c r="AL43" s="774"/>
      <c r="AM43" s="774"/>
      <c r="AN43" s="774"/>
      <c r="AO43" s="161"/>
      <c r="AP43" s="161"/>
      <c r="AQ43" s="161"/>
      <c r="AR43" s="640"/>
      <c r="AS43" s="161"/>
      <c r="AT43" s="161"/>
      <c r="AU43" s="161"/>
      <c r="AV43" s="161"/>
      <c r="AW43" s="161"/>
      <c r="AX43" s="161"/>
      <c r="AY43" s="161"/>
      <c r="AZ43" s="161"/>
      <c r="BA43" s="161"/>
      <c r="BB43" s="161"/>
      <c r="BC43" s="161"/>
      <c r="BD43" s="161"/>
      <c r="BE43" s="161"/>
      <c r="BF43" s="161"/>
      <c r="BG43" s="161"/>
      <c r="BH43" s="161"/>
      <c r="BI43" s="161"/>
      <c r="BJ43" s="161"/>
      <c r="BK43" s="161"/>
      <c r="BL43" s="161"/>
      <c r="BM43" s="161"/>
      <c r="BN43" s="161"/>
      <c r="BO43" s="161"/>
      <c r="BP43" s="161"/>
      <c r="BQ43" s="161"/>
      <c r="BR43" s="161"/>
      <c r="BS43" s="161"/>
      <c r="BT43" s="161"/>
      <c r="BU43" s="161"/>
      <c r="BV43" s="161"/>
      <c r="BW43" s="161"/>
      <c r="BX43" s="664"/>
    </row>
    <row r="44" ht="15.6" customHeight="1">
      <c r="A44" s="379"/>
      <c r="B44" s="296">
        <v>6</v>
      </c>
      <c r="C44" t="s" s="797">
        <v>326</v>
      </c>
      <c r="D44" s="315"/>
      <c r="E44" t="s" s="695">
        <f>IF(D44="","",VLOOKUP(D44,'10. Condition and Temporal'!$B$6:$D$103,3,FALSE))</f>
      </c>
      <c r="F44" s="416"/>
      <c r="G44" s="407"/>
      <c r="H44" s="417"/>
      <c r="I44" s="409"/>
      <c r="J44" s="410"/>
      <c r="K44" s="411"/>
      <c r="L44" t="s" s="418">
        <f>IF(D44="","",_xlfn.IFERROR(IF(I44="","",((I44/1000)*(V44*X44))*(AH44*AF44)*AD44*AI44),"This intervention is not permitted within the SSM ▲"))</f>
      </c>
      <c r="M44" s="413"/>
      <c r="N44" s="414"/>
      <c r="O44" s="415"/>
      <c r="P44" s="315"/>
      <c r="Q44" s="380"/>
      <c r="R44" s="219"/>
      <c r="S44" s="381"/>
      <c r="T44" t="s" s="285">
        <f>IF(D44="","",VLOOKUP(D44,'9. All Habitats + Multipliers'!$C$4:$K$102,5,FALSE))</f>
      </c>
      <c r="U44" s="286"/>
      <c r="V44" t="s" s="313">
        <f>IF(T44="","",VLOOKUP(T44,'11. Lists'!$B$47:$D$49,2,FALSE))</f>
      </c>
      <c r="W44" t="s" s="285">
        <f>IF(F44="","",F44)</f>
      </c>
      <c r="X44" t="s" s="313">
        <f>IF(W44="","",VLOOKUP(W44,'11. Lists'!$F$47:$G$51,2,FALSE))</f>
      </c>
      <c r="Y44" s="510"/>
      <c r="Z44" s="511"/>
      <c r="AA44" s="512"/>
      <c r="AB44" t="s" s="285">
        <f>IF(H44="","",H44)</f>
      </c>
      <c r="AC44" t="s" s="291">
        <f>IF(AB44="","",VLOOKUP(AB44,'11. Lists'!$F$36:$H$38,2,FALSE))</f>
      </c>
      <c r="AD44" t="s" s="313">
        <f>IF(AB44="","",VLOOKUP(AB44,'11. Lists'!$F$36:$H$38,3,FALSE))</f>
      </c>
      <c r="AE44" t="s" s="285">
        <f>IF(F44="","",IF(F44="Moderate",VLOOKUP(D44,'10. Condition and Temporal'!$B$6:$L$103,6,FALSE),IF(F44="Good",VLOOKUP(D44,'10. Condition and Temporal'!$B$6:$L$103,7,FALSE),IF(F44="Poor",VLOOKUP(D44,'10. Condition and Temporal'!$B$6:$L$103,8,FALSE),IF(F44="Condition Assessment N/A",VLOOKUP(D44,'10. Condition and Temporal'!$B$6:$L$103,9,FALSE),IF(F44="N/A - Other",VLOOKUP(D44,'10. Condition and Temporal'!$B$6:$L$103,10,FALSE)))))))</f>
      </c>
      <c r="AF44" t="s" s="313">
        <f>IF(AE44="","",VLOOKUP(AE44,'11. Lists'!$I$47:$K$80,3,FALSE))</f>
      </c>
      <c r="AG44" t="s" s="285">
        <f>IF(D44="","",VLOOKUP(D44,'9. All Habitats + Multipliers'!$C$4:$K$102,7,FALSE))</f>
      </c>
      <c r="AH44" t="s" s="313">
        <f>IF(AG44="","",VLOOKUP(AG44,'11. Lists'!$J$35:$K$38,2,FALSE))</f>
      </c>
      <c r="AI44" t="s" s="813">
        <v>327</v>
      </c>
      <c r="AJ44" s="805"/>
      <c r="AK44" s="774"/>
      <c r="AL44" s="774"/>
      <c r="AM44" s="774"/>
      <c r="AN44" s="774"/>
      <c r="AO44" s="161"/>
      <c r="AP44" s="161"/>
      <c r="AQ44" s="161"/>
      <c r="AR44" s="640"/>
      <c r="AS44" s="161"/>
      <c r="AT44" s="161"/>
      <c r="AU44" s="161"/>
      <c r="AV44" s="161"/>
      <c r="AW44" s="161"/>
      <c r="AX44" s="161"/>
      <c r="AY44" s="161"/>
      <c r="AZ44" s="161"/>
      <c r="BA44" s="161"/>
      <c r="BB44" s="161"/>
      <c r="BC44" s="161"/>
      <c r="BD44" s="161"/>
      <c r="BE44" s="161"/>
      <c r="BF44" s="161"/>
      <c r="BG44" s="161"/>
      <c r="BH44" s="161"/>
      <c r="BI44" s="161"/>
      <c r="BJ44" s="161"/>
      <c r="BK44" s="161"/>
      <c r="BL44" s="161"/>
      <c r="BM44" s="161"/>
      <c r="BN44" s="161"/>
      <c r="BO44" s="161"/>
      <c r="BP44" s="161"/>
      <c r="BQ44" s="161"/>
      <c r="BR44" s="161"/>
      <c r="BS44" s="161"/>
      <c r="BT44" s="161"/>
      <c r="BU44" s="161"/>
      <c r="BV44" s="161"/>
      <c r="BW44" s="161"/>
      <c r="BX44" s="664"/>
    </row>
    <row r="45" ht="15.6" customHeight="1">
      <c r="A45" s="379"/>
      <c r="B45" s="296">
        <v>7</v>
      </c>
      <c r="C45" t="s" s="797">
        <v>326</v>
      </c>
      <c r="D45" s="315"/>
      <c r="E45" t="s" s="695">
        <f>IF(D45="","",VLOOKUP(D45,'10. Condition and Temporal'!$B$6:$D$103,3,FALSE))</f>
      </c>
      <c r="F45" s="416"/>
      <c r="G45" s="407"/>
      <c r="H45" s="417"/>
      <c r="I45" s="409"/>
      <c r="J45" s="410"/>
      <c r="K45" s="411"/>
      <c r="L45" t="s" s="418">
        <f>IF(D45="","",_xlfn.IFERROR(IF(I45="","",((I45/1000)*(V45*X45))*(AH45*AF45)*AD45*AI45),"This intervention is not permitted within the SSM ▲"))</f>
      </c>
      <c r="M45" s="413"/>
      <c r="N45" s="414"/>
      <c r="O45" s="415"/>
      <c r="P45" s="315"/>
      <c r="Q45" s="380"/>
      <c r="R45" s="219"/>
      <c r="S45" s="381"/>
      <c r="T45" t="s" s="285">
        <f>IF(D45="","",VLOOKUP(D45,'9. All Habitats + Multipliers'!$C$4:$K$102,5,FALSE))</f>
      </c>
      <c r="U45" s="286"/>
      <c r="V45" t="s" s="313">
        <f>IF(T45="","",VLOOKUP(T45,'11. Lists'!$B$47:$D$49,2,FALSE))</f>
      </c>
      <c r="W45" t="s" s="285">
        <f>IF(F45="","",F45)</f>
      </c>
      <c r="X45" t="s" s="313">
        <f>IF(W45="","",VLOOKUP(W45,'11. Lists'!$F$47:$G$51,2,FALSE))</f>
      </c>
      <c r="Y45" s="510"/>
      <c r="Z45" s="511"/>
      <c r="AA45" s="512"/>
      <c r="AB45" t="s" s="285">
        <f>IF(H45="","",H45)</f>
      </c>
      <c r="AC45" t="s" s="291">
        <f>IF(AB45="","",VLOOKUP(AB45,'11. Lists'!$F$36:$H$38,2,FALSE))</f>
      </c>
      <c r="AD45" t="s" s="313">
        <f>IF(AB45="","",VLOOKUP(AB45,'11. Lists'!$F$36:$H$38,3,FALSE))</f>
      </c>
      <c r="AE45" t="s" s="285">
        <f>IF(F45="","",IF(F45="Moderate",VLOOKUP(D45,'10. Condition and Temporal'!$B$6:$L$103,6,FALSE),IF(F45="Good",VLOOKUP(D45,'10. Condition and Temporal'!$B$6:$L$103,7,FALSE),IF(F45="Poor",VLOOKUP(D45,'10. Condition and Temporal'!$B$6:$L$103,8,FALSE),IF(F45="Condition Assessment N/A",VLOOKUP(D45,'10. Condition and Temporal'!$B$6:$L$103,9,FALSE),IF(F45="N/A - Other",VLOOKUP(D45,'10. Condition and Temporal'!$B$6:$L$103,10,FALSE)))))))</f>
      </c>
      <c r="AF45" t="s" s="313">
        <f>IF(AE45="","",VLOOKUP(AE45,'11. Lists'!$I$47:$K$80,3,FALSE))</f>
      </c>
      <c r="AG45" t="s" s="285">
        <f>IF(D45="","",VLOOKUP(D45,'9. All Habitats + Multipliers'!$C$4:$K$102,7,FALSE))</f>
      </c>
      <c r="AH45" t="s" s="313">
        <f>IF(AG45="","",VLOOKUP(AG45,'11. Lists'!$J$35:$K$38,2,FALSE))</f>
      </c>
      <c r="AI45" t="s" s="813">
        <v>327</v>
      </c>
      <c r="AJ45" s="805"/>
      <c r="AK45" s="774"/>
      <c r="AL45" s="774"/>
      <c r="AM45" s="774"/>
      <c r="AN45" s="774"/>
      <c r="AO45" s="161"/>
      <c r="AP45" s="161"/>
      <c r="AQ45" s="161"/>
      <c r="AR45" s="640"/>
      <c r="AS45" s="161"/>
      <c r="AT45" s="161"/>
      <c r="AU45" s="161"/>
      <c r="AV45" s="161"/>
      <c r="AW45" s="161"/>
      <c r="AX45" s="161"/>
      <c r="AY45" s="161"/>
      <c r="AZ45" s="161"/>
      <c r="BA45" s="161"/>
      <c r="BB45" s="161"/>
      <c r="BC45" s="161"/>
      <c r="BD45" s="161"/>
      <c r="BE45" s="161"/>
      <c r="BF45" s="161"/>
      <c r="BG45" s="161"/>
      <c r="BH45" s="161"/>
      <c r="BI45" s="161"/>
      <c r="BJ45" s="161"/>
      <c r="BK45" s="161"/>
      <c r="BL45" s="161"/>
      <c r="BM45" s="161"/>
      <c r="BN45" s="161"/>
      <c r="BO45" s="161"/>
      <c r="BP45" s="161"/>
      <c r="BQ45" s="161"/>
      <c r="BR45" s="161"/>
      <c r="BS45" s="161"/>
      <c r="BT45" s="161"/>
      <c r="BU45" s="161"/>
      <c r="BV45" s="161"/>
      <c r="BW45" s="161"/>
      <c r="BX45" s="664"/>
    </row>
    <row r="46" ht="15.6" customHeight="1">
      <c r="A46" s="379"/>
      <c r="B46" s="296">
        <v>8</v>
      </c>
      <c r="C46" t="s" s="797">
        <v>326</v>
      </c>
      <c r="D46" s="315"/>
      <c r="E46" t="s" s="695">
        <f>IF(D46="","",VLOOKUP(D46,'10. Condition and Temporal'!$B$6:$D$103,3,FALSE))</f>
      </c>
      <c r="F46" s="416"/>
      <c r="G46" s="407"/>
      <c r="H46" s="417"/>
      <c r="I46" s="409"/>
      <c r="J46" s="410"/>
      <c r="K46" s="411"/>
      <c r="L46" t="s" s="418">
        <f>IF(D46="","",_xlfn.IFERROR(IF(I46="","",((I46/1000)*(V46*X46))*(AH46*AF46)*AD46*AI46),"This intervention is not permitted within the SSM ▲"))</f>
      </c>
      <c r="M46" s="413"/>
      <c r="N46" s="414"/>
      <c r="O46" s="415"/>
      <c r="P46" s="315"/>
      <c r="Q46" s="380"/>
      <c r="R46" s="219"/>
      <c r="S46" s="381"/>
      <c r="T46" t="s" s="285">
        <f>IF(D46="","",VLOOKUP(D46,'9. All Habitats + Multipliers'!$C$4:$K$102,5,FALSE))</f>
      </c>
      <c r="U46" s="286"/>
      <c r="V46" t="s" s="313">
        <f>IF(T46="","",VLOOKUP(T46,'11. Lists'!$B$47:$D$49,2,FALSE))</f>
      </c>
      <c r="W46" t="s" s="285">
        <f>IF(F46="","",F46)</f>
      </c>
      <c r="X46" t="s" s="313">
        <f>IF(W46="","",VLOOKUP(W46,'11. Lists'!$F$47:$G$51,2,FALSE))</f>
      </c>
      <c r="Y46" s="510"/>
      <c r="Z46" s="511"/>
      <c r="AA46" s="512"/>
      <c r="AB46" t="s" s="285">
        <f>IF(H46="","",H46)</f>
      </c>
      <c r="AC46" t="s" s="291">
        <f>IF(AB46="","",VLOOKUP(AB46,'11. Lists'!$F$36:$H$38,2,FALSE))</f>
      </c>
      <c r="AD46" t="s" s="313">
        <f>IF(AB46="","",VLOOKUP(AB46,'11. Lists'!$F$36:$H$38,3,FALSE))</f>
      </c>
      <c r="AE46" t="s" s="285">
        <f>IF(F46="","",IF(F46="Moderate",VLOOKUP(D46,'10. Condition and Temporal'!$B$6:$L$103,6,FALSE),IF(F46="Good",VLOOKUP(D46,'10. Condition and Temporal'!$B$6:$L$103,7,FALSE),IF(F46="Poor",VLOOKUP(D46,'10. Condition and Temporal'!$B$6:$L$103,8,FALSE),IF(F46="Condition Assessment N/A",VLOOKUP(D46,'10. Condition and Temporal'!$B$6:$L$103,9,FALSE),IF(F46="N/A - Other",VLOOKUP(D46,'10. Condition and Temporal'!$B$6:$L$103,10,FALSE)))))))</f>
      </c>
      <c r="AF46" t="s" s="313">
        <f>IF(AE46="","",VLOOKUP(AE46,'11. Lists'!$I$47:$K$80,3,FALSE))</f>
      </c>
      <c r="AG46" t="s" s="285">
        <f>IF(D46="","",VLOOKUP(D46,'9. All Habitats + Multipliers'!$C$4:$K$102,7,FALSE))</f>
      </c>
      <c r="AH46" t="s" s="313">
        <f>IF(AG46="","",VLOOKUP(AG46,'11. Lists'!$J$35:$K$38,2,FALSE))</f>
      </c>
      <c r="AI46" t="s" s="813">
        <v>327</v>
      </c>
      <c r="AJ46" s="805"/>
      <c r="AK46" s="774"/>
      <c r="AL46" s="774"/>
      <c r="AM46" s="774"/>
      <c r="AN46" s="774"/>
      <c r="AO46" s="161"/>
      <c r="AP46" s="161"/>
      <c r="AQ46" s="161"/>
      <c r="AR46" s="640"/>
      <c r="AS46" s="161"/>
      <c r="AT46" s="161"/>
      <c r="AU46" s="161"/>
      <c r="AV46" s="161"/>
      <c r="AW46" s="161"/>
      <c r="AX46" s="161"/>
      <c r="AY46" s="161"/>
      <c r="AZ46" s="161"/>
      <c r="BA46" s="161"/>
      <c r="BB46" s="161"/>
      <c r="BC46" s="161"/>
      <c r="BD46" s="161"/>
      <c r="BE46" s="161"/>
      <c r="BF46" s="161"/>
      <c r="BG46" s="161"/>
      <c r="BH46" s="161"/>
      <c r="BI46" s="161"/>
      <c r="BJ46" s="161"/>
      <c r="BK46" s="161"/>
      <c r="BL46" s="161"/>
      <c r="BM46" s="161"/>
      <c r="BN46" s="161"/>
      <c r="BO46" s="161"/>
      <c r="BP46" s="161"/>
      <c r="BQ46" s="161"/>
      <c r="BR46" s="161"/>
      <c r="BS46" s="161"/>
      <c r="BT46" s="161"/>
      <c r="BU46" s="161"/>
      <c r="BV46" s="161"/>
      <c r="BW46" s="161"/>
      <c r="BX46" s="664"/>
    </row>
    <row r="47" ht="15.6" customHeight="1">
      <c r="A47" s="379"/>
      <c r="B47" s="296">
        <v>9</v>
      </c>
      <c r="C47" t="s" s="797">
        <v>326</v>
      </c>
      <c r="D47" s="315"/>
      <c r="E47" t="s" s="695">
        <f>IF(D47="","",VLOOKUP(D47,'10. Condition and Temporal'!$B$6:$D$103,3,FALSE))</f>
      </c>
      <c r="F47" s="416"/>
      <c r="G47" s="407"/>
      <c r="H47" s="417"/>
      <c r="I47" s="409"/>
      <c r="J47" s="410"/>
      <c r="K47" s="411"/>
      <c r="L47" t="s" s="418">
        <f>IF(D47="","",_xlfn.IFERROR(IF(I47="","",((I47/1000)*(V47*X47))*(AH47*AF47)*AD47*AI47),"This intervention is not permitted within the SSM ▲"))</f>
      </c>
      <c r="M47" s="413"/>
      <c r="N47" s="414"/>
      <c r="O47" s="415"/>
      <c r="P47" s="315"/>
      <c r="Q47" s="380"/>
      <c r="R47" s="219"/>
      <c r="S47" s="381"/>
      <c r="T47" t="s" s="285">
        <f>IF(D47="","",VLOOKUP(D47,'9. All Habitats + Multipliers'!$C$4:$K$102,5,FALSE))</f>
      </c>
      <c r="U47" s="286"/>
      <c r="V47" t="s" s="313">
        <f>IF(T47="","",VLOOKUP(T47,'11. Lists'!$B$47:$D$49,2,FALSE))</f>
      </c>
      <c r="W47" t="s" s="285">
        <f>IF(F47="","",F47)</f>
      </c>
      <c r="X47" t="s" s="313">
        <f>IF(W47="","",VLOOKUP(W47,'11. Lists'!$F$47:$G$51,2,FALSE))</f>
      </c>
      <c r="Y47" s="510"/>
      <c r="Z47" s="511"/>
      <c r="AA47" s="512"/>
      <c r="AB47" t="s" s="285">
        <f>IF(H47="","",H47)</f>
      </c>
      <c r="AC47" t="s" s="291">
        <f>IF(AB47="","",VLOOKUP(AB47,'11. Lists'!$F$36:$H$38,2,FALSE))</f>
      </c>
      <c r="AD47" t="s" s="313">
        <f>IF(AB47="","",VLOOKUP(AB47,'11. Lists'!$F$36:$H$38,3,FALSE))</f>
      </c>
      <c r="AE47" t="s" s="285">
        <f>IF(F47="","",IF(F47="Moderate",VLOOKUP(D47,'10. Condition and Temporal'!$B$6:$L$103,6,FALSE),IF(F47="Good",VLOOKUP(D47,'10. Condition and Temporal'!$B$6:$L$103,7,FALSE),IF(F47="Poor",VLOOKUP(D47,'10. Condition and Temporal'!$B$6:$L$103,8,FALSE),IF(F47="Condition Assessment N/A",VLOOKUP(D47,'10. Condition and Temporal'!$B$6:$L$103,9,FALSE),IF(F47="N/A - Other",VLOOKUP(D47,'10. Condition and Temporal'!$B$6:$L$103,10,FALSE)))))))</f>
      </c>
      <c r="AF47" t="s" s="313">
        <f>IF(AE47="","",VLOOKUP(AE47,'11. Lists'!$I$47:$K$80,3,FALSE))</f>
      </c>
      <c r="AG47" t="s" s="285">
        <f>IF(D47="","",VLOOKUP(D47,'9. All Habitats + Multipliers'!$C$4:$K$102,7,FALSE))</f>
      </c>
      <c r="AH47" t="s" s="313">
        <f>IF(AG47="","",VLOOKUP(AG47,'11. Lists'!$J$35:$K$38,2,FALSE))</f>
      </c>
      <c r="AI47" t="s" s="813">
        <v>327</v>
      </c>
      <c r="AJ47" s="805"/>
      <c r="AK47" s="774"/>
      <c r="AL47" s="774"/>
      <c r="AM47" s="774"/>
      <c r="AN47" s="774"/>
      <c r="AO47" s="161"/>
      <c r="AP47" s="161"/>
      <c r="AQ47" s="161"/>
      <c r="AR47" s="640"/>
      <c r="AS47" s="161"/>
      <c r="AT47" s="161"/>
      <c r="AU47" s="161"/>
      <c r="AV47" s="161"/>
      <c r="AW47" s="161"/>
      <c r="AX47" s="161"/>
      <c r="AY47" s="161"/>
      <c r="AZ47" s="161"/>
      <c r="BA47" s="161"/>
      <c r="BB47" s="161"/>
      <c r="BC47" s="161"/>
      <c r="BD47" s="161"/>
      <c r="BE47" s="161"/>
      <c r="BF47" s="161"/>
      <c r="BG47" s="161"/>
      <c r="BH47" s="161"/>
      <c r="BI47" s="161"/>
      <c r="BJ47" s="161"/>
      <c r="BK47" s="161"/>
      <c r="BL47" s="161"/>
      <c r="BM47" s="161"/>
      <c r="BN47" s="161"/>
      <c r="BO47" s="161"/>
      <c r="BP47" s="161"/>
      <c r="BQ47" s="161"/>
      <c r="BR47" s="161"/>
      <c r="BS47" s="161"/>
      <c r="BT47" s="161"/>
      <c r="BU47" s="161"/>
      <c r="BV47" s="161"/>
      <c r="BW47" s="161"/>
      <c r="BX47" s="664"/>
    </row>
    <row r="48" ht="15.6" customHeight="1">
      <c r="A48" s="379"/>
      <c r="B48" s="296">
        <v>10</v>
      </c>
      <c r="C48" t="s" s="797">
        <v>326</v>
      </c>
      <c r="D48" s="315"/>
      <c r="E48" t="s" s="695">
        <f>IF(D48="","",VLOOKUP(D48,'10. Condition and Temporal'!$B$6:$D$103,3,FALSE))</f>
      </c>
      <c r="F48" s="416"/>
      <c r="G48" s="407"/>
      <c r="H48" s="417"/>
      <c r="I48" s="409"/>
      <c r="J48" s="410"/>
      <c r="K48" s="411"/>
      <c r="L48" t="s" s="418">
        <f>IF(D48="","",_xlfn.IFERROR(IF(I48="","",((I48/1000)*(V48*X48))*(AH48*AF48)*AD48*AI48),"This intervention is not permitted within the SSM ▲"))</f>
      </c>
      <c r="M48" s="413"/>
      <c r="N48" s="414"/>
      <c r="O48" s="415"/>
      <c r="P48" s="315"/>
      <c r="Q48" s="380"/>
      <c r="R48" s="219"/>
      <c r="S48" s="381"/>
      <c r="T48" t="s" s="285">
        <f>IF(D48="","",VLOOKUP(D48,'9. All Habitats + Multipliers'!$C$4:$K$102,5,FALSE))</f>
      </c>
      <c r="U48" s="286"/>
      <c r="V48" t="s" s="313">
        <f>IF(T48="","",VLOOKUP(T48,'11. Lists'!$B$47:$D$49,2,FALSE))</f>
      </c>
      <c r="W48" t="s" s="285">
        <f>IF(F48="","",F48)</f>
      </c>
      <c r="X48" t="s" s="313">
        <f>IF(W48="","",VLOOKUP(W48,'11. Lists'!$F$47:$G$51,2,FALSE))</f>
      </c>
      <c r="Y48" s="510"/>
      <c r="Z48" s="511"/>
      <c r="AA48" s="512"/>
      <c r="AB48" t="s" s="285">
        <f>IF(H48="","",H48)</f>
      </c>
      <c r="AC48" t="s" s="291">
        <f>IF(AB48="","",VLOOKUP(AB48,'11. Lists'!$F$36:$H$38,2,FALSE))</f>
      </c>
      <c r="AD48" t="s" s="313">
        <f>IF(AB48="","",VLOOKUP(AB48,'11. Lists'!$F$36:$H$38,3,FALSE))</f>
      </c>
      <c r="AE48" t="s" s="285">
        <f>IF(F48="","",IF(F48="Moderate",VLOOKUP(D48,'10. Condition and Temporal'!$B$6:$L$103,6,FALSE),IF(F48="Good",VLOOKUP(D48,'10. Condition and Temporal'!$B$6:$L$103,7,FALSE),IF(F48="Poor",VLOOKUP(D48,'10. Condition and Temporal'!$B$6:$L$103,8,FALSE),IF(F48="Condition Assessment N/A",VLOOKUP(D48,'10. Condition and Temporal'!$B$6:$L$103,9,FALSE),IF(F48="N/A - Other",VLOOKUP(D48,'10. Condition and Temporal'!$B$6:$L$103,10,FALSE)))))))</f>
      </c>
      <c r="AF48" t="s" s="313">
        <f>IF(AE48="","",VLOOKUP(AE48,'11. Lists'!$I$47:$K$80,3,FALSE))</f>
      </c>
      <c r="AG48" t="s" s="285">
        <f>IF(D48="","",VLOOKUP(D48,'9. All Habitats + Multipliers'!$C$4:$K$102,7,FALSE))</f>
      </c>
      <c r="AH48" t="s" s="313">
        <f>IF(AG48="","",VLOOKUP(AG48,'11. Lists'!$J$35:$K$38,2,FALSE))</f>
      </c>
      <c r="AI48" t="s" s="813">
        <v>327</v>
      </c>
      <c r="AJ48" s="805"/>
      <c r="AK48" s="774"/>
      <c r="AL48" s="774"/>
      <c r="AM48" s="774"/>
      <c r="AN48" s="774"/>
      <c r="AO48" s="161"/>
      <c r="AP48" s="161"/>
      <c r="AQ48" s="161"/>
      <c r="AR48" s="640"/>
      <c r="AS48" s="161"/>
      <c r="AT48" s="161"/>
      <c r="AU48" s="161"/>
      <c r="AV48" s="161"/>
      <c r="AW48" s="161"/>
      <c r="AX48" s="161"/>
      <c r="AY48" s="161"/>
      <c r="AZ48" s="161"/>
      <c r="BA48" s="161"/>
      <c r="BB48" s="161"/>
      <c r="BC48" s="161"/>
      <c r="BD48" s="161"/>
      <c r="BE48" s="161"/>
      <c r="BF48" s="161"/>
      <c r="BG48" s="161"/>
      <c r="BH48" s="161"/>
      <c r="BI48" s="161"/>
      <c r="BJ48" s="161"/>
      <c r="BK48" s="161"/>
      <c r="BL48" s="161"/>
      <c r="BM48" s="161"/>
      <c r="BN48" s="161"/>
      <c r="BO48" s="161"/>
      <c r="BP48" s="161"/>
      <c r="BQ48" s="161"/>
      <c r="BR48" s="161"/>
      <c r="BS48" s="161"/>
      <c r="BT48" s="161"/>
      <c r="BU48" s="161"/>
      <c r="BV48" s="161"/>
      <c r="BW48" s="161"/>
      <c r="BX48" s="664"/>
    </row>
    <row r="49" ht="15.6" customHeight="1">
      <c r="A49" s="379"/>
      <c r="B49" s="296">
        <v>11</v>
      </c>
      <c r="C49" t="s" s="797">
        <v>326</v>
      </c>
      <c r="D49" s="315"/>
      <c r="E49" t="s" s="695">
        <f>IF(D49="","",VLOOKUP(D49,'10. Condition and Temporal'!$B$6:$D$103,3,FALSE))</f>
      </c>
      <c r="F49" s="416"/>
      <c r="G49" s="407"/>
      <c r="H49" s="417"/>
      <c r="I49" s="409"/>
      <c r="J49" s="410"/>
      <c r="K49" s="411"/>
      <c r="L49" t="s" s="418">
        <f>IF(D49="","",_xlfn.IFERROR(IF(I49="","",((I49/1000)*(V49*X49))*(AH49*AF49)*AD49*AI49),"This intervention is not permitted within the SSM ▲"))</f>
      </c>
      <c r="M49" s="413"/>
      <c r="N49" s="414"/>
      <c r="O49" s="415"/>
      <c r="P49" s="315"/>
      <c r="Q49" s="380"/>
      <c r="R49" s="219"/>
      <c r="S49" s="381"/>
      <c r="T49" t="s" s="285">
        <f>IF(D49="","",VLOOKUP(D49,'9. All Habitats + Multipliers'!$C$4:$K$102,5,FALSE))</f>
      </c>
      <c r="U49" s="286"/>
      <c r="V49" t="s" s="313">
        <f>IF(T49="","",VLOOKUP(T49,'11. Lists'!$B$47:$D$49,2,FALSE))</f>
      </c>
      <c r="W49" t="s" s="285">
        <f>IF(F49="","",F49)</f>
      </c>
      <c r="X49" t="s" s="313">
        <f>IF(W49="","",VLOOKUP(W49,'11. Lists'!$F$47:$G$51,2,FALSE))</f>
      </c>
      <c r="Y49" s="510"/>
      <c r="Z49" s="511"/>
      <c r="AA49" s="512"/>
      <c r="AB49" t="s" s="285">
        <f>IF(H49="","",H49)</f>
      </c>
      <c r="AC49" t="s" s="291">
        <f>IF(AB49="","",VLOOKUP(AB49,'11. Lists'!$F$36:$H$38,2,FALSE))</f>
      </c>
      <c r="AD49" t="s" s="313">
        <f>IF(AB49="","",VLOOKUP(AB49,'11. Lists'!$F$36:$H$38,3,FALSE))</f>
      </c>
      <c r="AE49" t="s" s="285">
        <f>IF(F49="","",IF(F49="Moderate",VLOOKUP(D49,'10. Condition and Temporal'!$B$6:$L$103,6,FALSE),IF(F49="Good",VLOOKUP(D49,'10. Condition and Temporal'!$B$6:$L$103,7,FALSE),IF(F49="Poor",VLOOKUP(D49,'10. Condition and Temporal'!$B$6:$L$103,8,FALSE),IF(F49="Condition Assessment N/A",VLOOKUP(D49,'10. Condition and Temporal'!$B$6:$L$103,9,FALSE),IF(F49="N/A - Other",VLOOKUP(D49,'10. Condition and Temporal'!$B$6:$L$103,10,FALSE)))))))</f>
      </c>
      <c r="AF49" t="s" s="313">
        <f>IF(AE49="","",VLOOKUP(AE49,'11. Lists'!$I$47:$K$80,3,FALSE))</f>
      </c>
      <c r="AG49" t="s" s="285">
        <f>IF(D49="","",VLOOKUP(D49,'9. All Habitats + Multipliers'!$C$4:$K$102,7,FALSE))</f>
      </c>
      <c r="AH49" t="s" s="313">
        <f>IF(AG49="","",VLOOKUP(AG49,'11. Lists'!$J$35:$K$38,2,FALSE))</f>
      </c>
      <c r="AI49" t="s" s="813">
        <v>327</v>
      </c>
      <c r="AJ49" s="805"/>
      <c r="AK49" s="774"/>
      <c r="AL49" s="774"/>
      <c r="AM49" s="774"/>
      <c r="AN49" s="774"/>
      <c r="AO49" s="161"/>
      <c r="AP49" s="161"/>
      <c r="AQ49" s="161"/>
      <c r="AR49" s="640"/>
      <c r="AS49" s="161"/>
      <c r="AT49" s="161"/>
      <c r="AU49" s="161"/>
      <c r="AV49" s="161"/>
      <c r="AW49" s="161"/>
      <c r="AX49" s="161"/>
      <c r="AY49" s="161"/>
      <c r="AZ49" s="161"/>
      <c r="BA49" s="161"/>
      <c r="BB49" s="161"/>
      <c r="BC49" s="161"/>
      <c r="BD49" s="161"/>
      <c r="BE49" s="161"/>
      <c r="BF49" s="161"/>
      <c r="BG49" s="161"/>
      <c r="BH49" s="161"/>
      <c r="BI49" s="161"/>
      <c r="BJ49" s="161"/>
      <c r="BK49" s="161"/>
      <c r="BL49" s="161"/>
      <c r="BM49" s="161"/>
      <c r="BN49" s="161"/>
      <c r="BO49" s="161"/>
      <c r="BP49" s="161"/>
      <c r="BQ49" s="161"/>
      <c r="BR49" s="161"/>
      <c r="BS49" s="161"/>
      <c r="BT49" s="161"/>
      <c r="BU49" s="161"/>
      <c r="BV49" s="161"/>
      <c r="BW49" s="161"/>
      <c r="BX49" s="664"/>
    </row>
    <row r="50" ht="15.6" customHeight="1">
      <c r="A50" s="379"/>
      <c r="B50" s="296">
        <v>12</v>
      </c>
      <c r="C50" t="s" s="797">
        <v>326</v>
      </c>
      <c r="D50" s="315"/>
      <c r="E50" t="s" s="695">
        <f>IF(D50="","",VLOOKUP(D50,'10. Condition and Temporal'!$B$6:$D$103,3,FALSE))</f>
      </c>
      <c r="F50" s="416"/>
      <c r="G50" s="407"/>
      <c r="H50" s="417"/>
      <c r="I50" s="409"/>
      <c r="J50" s="410"/>
      <c r="K50" s="411"/>
      <c r="L50" t="s" s="418">
        <f>IF(D50="","",_xlfn.IFERROR(IF(I50="","",((I50/1000)*(V50*X50))*(AH50*AF50)*AD50*AI50),"This intervention is not permitted within the SSM ▲"))</f>
      </c>
      <c r="M50" s="413"/>
      <c r="N50" s="414"/>
      <c r="O50" s="415"/>
      <c r="P50" s="315"/>
      <c r="Q50" s="380"/>
      <c r="R50" s="219"/>
      <c r="S50" s="381"/>
      <c r="T50" t="s" s="285">
        <f>IF(D50="","",VLOOKUP(D50,'9. All Habitats + Multipliers'!$C$4:$K$102,5,FALSE))</f>
      </c>
      <c r="U50" s="286"/>
      <c r="V50" t="s" s="313">
        <f>IF(T50="","",VLOOKUP(T50,'11. Lists'!$B$47:$D$49,2,FALSE))</f>
      </c>
      <c r="W50" t="s" s="285">
        <f>IF(F50="","",F50)</f>
      </c>
      <c r="X50" t="s" s="313">
        <f>IF(W50="","",VLOOKUP(W50,'11. Lists'!$F$47:$G$51,2,FALSE))</f>
      </c>
      <c r="Y50" s="510"/>
      <c r="Z50" s="511"/>
      <c r="AA50" s="512"/>
      <c r="AB50" t="s" s="285">
        <f>IF(H50="","",H50)</f>
      </c>
      <c r="AC50" t="s" s="291">
        <f>IF(AB50="","",VLOOKUP(AB50,'11. Lists'!$F$36:$H$38,2,FALSE))</f>
      </c>
      <c r="AD50" t="s" s="313">
        <f>IF(AB50="","",VLOOKUP(AB50,'11. Lists'!$F$36:$H$38,3,FALSE))</f>
      </c>
      <c r="AE50" t="s" s="285">
        <f>IF(F50="","",IF(F50="Moderate",VLOOKUP(D50,'10. Condition and Temporal'!$B$6:$L$103,6,FALSE),IF(F50="Good",VLOOKUP(D50,'10. Condition and Temporal'!$B$6:$L$103,7,FALSE),IF(F50="Poor",VLOOKUP(D50,'10. Condition and Temporal'!$B$6:$L$103,8,FALSE),IF(F50="Condition Assessment N/A",VLOOKUP(D50,'10. Condition and Temporal'!$B$6:$L$103,9,FALSE),IF(F50="N/A - Other",VLOOKUP(D50,'10. Condition and Temporal'!$B$6:$L$103,10,FALSE)))))))</f>
      </c>
      <c r="AF50" t="s" s="313">
        <f>IF(AE50="","",VLOOKUP(AE50,'11. Lists'!$I$47:$K$80,3,FALSE))</f>
      </c>
      <c r="AG50" t="s" s="285">
        <f>IF(D50="","",VLOOKUP(D50,'9. All Habitats + Multipliers'!$C$4:$K$102,7,FALSE))</f>
      </c>
      <c r="AH50" t="s" s="313">
        <f>IF(AG50="","",VLOOKUP(AG50,'11. Lists'!$J$35:$K$38,2,FALSE))</f>
      </c>
      <c r="AI50" t="s" s="813">
        <v>327</v>
      </c>
      <c r="AJ50" s="805"/>
      <c r="AK50" s="774"/>
      <c r="AL50" s="774"/>
      <c r="AM50" s="774"/>
      <c r="AN50" s="774"/>
      <c r="AO50" s="161"/>
      <c r="AP50" s="161"/>
      <c r="AQ50" s="161"/>
      <c r="AR50" s="161"/>
      <c r="AS50" s="161"/>
      <c r="AT50" s="161"/>
      <c r="AU50" s="161"/>
      <c r="AV50" s="161"/>
      <c r="AW50" s="161"/>
      <c r="AX50" s="161"/>
      <c r="AY50" s="161"/>
      <c r="AZ50" s="161"/>
      <c r="BA50" s="161"/>
      <c r="BB50" s="161"/>
      <c r="BC50" s="161"/>
      <c r="BD50" s="161"/>
      <c r="BE50" s="161"/>
      <c r="BF50" s="161"/>
      <c r="BG50" s="161"/>
      <c r="BH50" s="161"/>
      <c r="BI50" s="161"/>
      <c r="BJ50" s="161"/>
      <c r="BK50" s="161"/>
      <c r="BL50" s="161"/>
      <c r="BM50" s="161"/>
      <c r="BN50" s="161"/>
      <c r="BO50" s="161"/>
      <c r="BP50" s="161"/>
      <c r="BQ50" s="161"/>
      <c r="BR50" s="161"/>
      <c r="BS50" s="161"/>
      <c r="BT50" s="161"/>
      <c r="BU50" s="161"/>
      <c r="BV50" s="161"/>
      <c r="BW50" s="161"/>
      <c r="BX50" s="664"/>
    </row>
    <row r="51" ht="15.6" customHeight="1">
      <c r="A51" s="379"/>
      <c r="B51" s="296">
        <v>13</v>
      </c>
      <c r="C51" t="s" s="797">
        <v>326</v>
      </c>
      <c r="D51" s="315"/>
      <c r="E51" t="s" s="695">
        <f>IF(D51="","",VLOOKUP(D51,'10. Condition and Temporal'!$B$6:$D$103,3,FALSE))</f>
      </c>
      <c r="F51" s="416"/>
      <c r="G51" s="407"/>
      <c r="H51" s="417"/>
      <c r="I51" s="409"/>
      <c r="J51" s="410"/>
      <c r="K51" s="411"/>
      <c r="L51" t="s" s="418">
        <f>IF(D51="","",_xlfn.IFERROR(IF(I51="","",((I51/1000)*(V51*X51))*(AH51*AF51)*AD51*AI51),"This intervention is not permitted within the SSM ▲"))</f>
      </c>
      <c r="M51" s="413"/>
      <c r="N51" s="414"/>
      <c r="O51" s="415"/>
      <c r="P51" s="315"/>
      <c r="Q51" s="380"/>
      <c r="R51" s="219"/>
      <c r="S51" s="381"/>
      <c r="T51" t="s" s="285">
        <f>IF(D51="","",VLOOKUP(D51,'9. All Habitats + Multipliers'!$C$4:$K$102,5,FALSE))</f>
      </c>
      <c r="U51" s="286"/>
      <c r="V51" t="s" s="313">
        <f>IF(T51="","",VLOOKUP(T51,'11. Lists'!$B$47:$D$49,2,FALSE))</f>
      </c>
      <c r="W51" t="s" s="285">
        <f>IF(F51="","",F51)</f>
      </c>
      <c r="X51" t="s" s="313">
        <f>IF(W51="","",VLOOKUP(W51,'11. Lists'!$F$47:$G$51,2,FALSE))</f>
      </c>
      <c r="Y51" s="510"/>
      <c r="Z51" s="511"/>
      <c r="AA51" s="512"/>
      <c r="AB51" t="s" s="285">
        <f>IF(H51="","",H51)</f>
      </c>
      <c r="AC51" t="s" s="291">
        <f>IF(AB51="","",VLOOKUP(AB51,'11. Lists'!$F$36:$H$38,2,FALSE))</f>
      </c>
      <c r="AD51" t="s" s="313">
        <f>IF(AB51="","",VLOOKUP(AB51,'11. Lists'!$F$36:$H$38,3,FALSE))</f>
      </c>
      <c r="AE51" t="s" s="285">
        <f>IF(F51="","",IF(F51="Moderate",VLOOKUP(D51,'10. Condition and Temporal'!$B$6:$L$103,6,FALSE),IF(F51="Good",VLOOKUP(D51,'10. Condition and Temporal'!$B$6:$L$103,7,FALSE),IF(F51="Poor",VLOOKUP(D51,'10. Condition and Temporal'!$B$6:$L$103,8,FALSE),IF(F51="Condition Assessment N/A",VLOOKUP(D51,'10. Condition and Temporal'!$B$6:$L$103,9,FALSE),IF(F51="N/A - Other",VLOOKUP(D51,'10. Condition and Temporal'!$B$6:$L$103,10,FALSE)))))))</f>
      </c>
      <c r="AF51" t="s" s="313">
        <f>IF(AE51="","",VLOOKUP(AE51,'11. Lists'!$I$47:$K$80,3,FALSE))</f>
      </c>
      <c r="AG51" t="s" s="285">
        <f>IF(D51="","",VLOOKUP(D51,'9. All Habitats + Multipliers'!$C$4:$K$102,7,FALSE))</f>
      </c>
      <c r="AH51" t="s" s="313">
        <f>IF(AG51="","",VLOOKUP(AG51,'11. Lists'!$J$35:$K$38,2,FALSE))</f>
      </c>
      <c r="AI51" t="s" s="813">
        <v>327</v>
      </c>
      <c r="AJ51" s="805"/>
      <c r="AK51" s="774"/>
      <c r="AL51" s="774"/>
      <c r="AM51" s="774"/>
      <c r="AN51" s="774"/>
      <c r="AO51" s="161"/>
      <c r="AP51" s="161"/>
      <c r="AQ51" s="161"/>
      <c r="AR51" s="161"/>
      <c r="AS51" s="161"/>
      <c r="AT51" s="161"/>
      <c r="AU51" s="161"/>
      <c r="AV51" s="161"/>
      <c r="AW51" s="161"/>
      <c r="AX51" s="161"/>
      <c r="AY51" s="161"/>
      <c r="AZ51" s="161"/>
      <c r="BA51" s="161"/>
      <c r="BB51" s="161"/>
      <c r="BC51" s="161"/>
      <c r="BD51" s="161"/>
      <c r="BE51" s="161"/>
      <c r="BF51" s="161"/>
      <c r="BG51" s="161"/>
      <c r="BH51" s="161"/>
      <c r="BI51" s="161"/>
      <c r="BJ51" s="161"/>
      <c r="BK51" s="161"/>
      <c r="BL51" s="161"/>
      <c r="BM51" s="161"/>
      <c r="BN51" s="161"/>
      <c r="BO51" s="161"/>
      <c r="BP51" s="161"/>
      <c r="BQ51" s="161"/>
      <c r="BR51" s="161"/>
      <c r="BS51" s="161"/>
      <c r="BT51" s="161"/>
      <c r="BU51" s="161"/>
      <c r="BV51" s="161"/>
      <c r="BW51" s="161"/>
      <c r="BX51" s="664"/>
    </row>
    <row r="52" ht="15.6" customHeight="1">
      <c r="A52" s="379"/>
      <c r="B52" s="296">
        <v>14</v>
      </c>
      <c r="C52" t="s" s="797">
        <v>326</v>
      </c>
      <c r="D52" s="315"/>
      <c r="E52" t="s" s="695">
        <f>IF(D52="","",VLOOKUP(D52,'10. Condition and Temporal'!$B$6:$D$103,3,FALSE))</f>
      </c>
      <c r="F52" s="416"/>
      <c r="G52" s="407"/>
      <c r="H52" s="417"/>
      <c r="I52" s="409"/>
      <c r="J52" s="410"/>
      <c r="K52" s="411"/>
      <c r="L52" t="s" s="418">
        <f>IF(D52="","",_xlfn.IFERROR(IF(I52="","",((I52/1000)*(V52*X52))*(AH52*AF52)*AD52*AI52),"This intervention is not permitted within the SSM ▲"))</f>
      </c>
      <c r="M52" s="413"/>
      <c r="N52" s="414"/>
      <c r="O52" s="415"/>
      <c r="P52" s="315"/>
      <c r="Q52" s="380"/>
      <c r="R52" s="219"/>
      <c r="S52" s="381"/>
      <c r="T52" t="s" s="285">
        <f>IF(D52="","",VLOOKUP(D52,'9. All Habitats + Multipliers'!$C$4:$K$102,5,FALSE))</f>
      </c>
      <c r="U52" s="286"/>
      <c r="V52" t="s" s="313">
        <f>IF(T52="","",VLOOKUP(T52,'11. Lists'!$B$47:$D$49,2,FALSE))</f>
      </c>
      <c r="W52" t="s" s="285">
        <f>IF(F52="","",F52)</f>
      </c>
      <c r="X52" t="s" s="313">
        <f>IF(W52="","",VLOOKUP(W52,'11. Lists'!$F$47:$G$51,2,FALSE))</f>
      </c>
      <c r="Y52" s="510"/>
      <c r="Z52" s="511"/>
      <c r="AA52" s="512"/>
      <c r="AB52" t="s" s="285">
        <f>IF(H52="","",H52)</f>
      </c>
      <c r="AC52" t="s" s="291">
        <f>IF(AB52="","",VLOOKUP(AB52,'11. Lists'!$F$36:$H$38,2,FALSE))</f>
      </c>
      <c r="AD52" t="s" s="313">
        <f>IF(AB52="","",VLOOKUP(AB52,'11. Lists'!$F$36:$H$38,3,FALSE))</f>
      </c>
      <c r="AE52" t="s" s="285">
        <f>IF(F52="","",IF(F52="Moderate",VLOOKUP(D52,'10. Condition and Temporal'!$B$6:$L$103,6,FALSE),IF(F52="Good",VLOOKUP(D52,'10. Condition and Temporal'!$B$6:$L$103,7,FALSE),IF(F52="Poor",VLOOKUP(D52,'10. Condition and Temporal'!$B$6:$L$103,8,FALSE),IF(F52="Condition Assessment N/A",VLOOKUP(D52,'10. Condition and Temporal'!$B$6:$L$103,9,FALSE),IF(F52="N/A - Other",VLOOKUP(D52,'10. Condition and Temporal'!$B$6:$L$103,10,FALSE)))))))</f>
      </c>
      <c r="AF52" t="s" s="313">
        <f>IF(AE52="","",VLOOKUP(AE52,'11. Lists'!$I$47:$K$80,3,FALSE))</f>
      </c>
      <c r="AG52" t="s" s="285">
        <f>IF(D52="","",VLOOKUP(D52,'9. All Habitats + Multipliers'!$C$4:$K$102,7,FALSE))</f>
      </c>
      <c r="AH52" t="s" s="313">
        <f>IF(AG52="","",VLOOKUP(AG52,'11. Lists'!$J$35:$K$38,2,FALSE))</f>
      </c>
      <c r="AI52" t="s" s="813">
        <v>327</v>
      </c>
      <c r="AJ52" s="805"/>
      <c r="AK52" s="774"/>
      <c r="AL52" s="774"/>
      <c r="AM52" s="774"/>
      <c r="AN52" s="774"/>
      <c r="AO52" s="161"/>
      <c r="AP52" s="161"/>
      <c r="AQ52" s="161"/>
      <c r="AR52" s="161"/>
      <c r="AS52" s="161"/>
      <c r="AT52" s="161"/>
      <c r="AU52" s="161"/>
      <c r="AV52" s="161"/>
      <c r="AW52" s="161"/>
      <c r="AX52" s="161"/>
      <c r="AY52" s="161"/>
      <c r="AZ52" s="161"/>
      <c r="BA52" s="161"/>
      <c r="BB52" s="161"/>
      <c r="BC52" s="161"/>
      <c r="BD52" s="161"/>
      <c r="BE52" s="161"/>
      <c r="BF52" s="161"/>
      <c r="BG52" s="161"/>
      <c r="BH52" s="161"/>
      <c r="BI52" s="161"/>
      <c r="BJ52" s="161"/>
      <c r="BK52" s="161"/>
      <c r="BL52" s="161"/>
      <c r="BM52" s="161"/>
      <c r="BN52" s="161"/>
      <c r="BO52" s="161"/>
      <c r="BP52" s="161"/>
      <c r="BQ52" s="161"/>
      <c r="BR52" s="161"/>
      <c r="BS52" s="161"/>
      <c r="BT52" s="161"/>
      <c r="BU52" s="161"/>
      <c r="BV52" s="161"/>
      <c r="BW52" s="161"/>
      <c r="BX52" s="664"/>
    </row>
    <row r="53" ht="15.6" customHeight="1">
      <c r="A53" s="379"/>
      <c r="B53" s="296">
        <v>15</v>
      </c>
      <c r="C53" t="s" s="797">
        <v>326</v>
      </c>
      <c r="D53" s="315"/>
      <c r="E53" t="s" s="695">
        <f>IF(D53="","",VLOOKUP(D53,'10. Condition and Temporal'!$B$6:$D$103,3,FALSE))</f>
      </c>
      <c r="F53" s="416"/>
      <c r="G53" s="407"/>
      <c r="H53" s="417"/>
      <c r="I53" s="409"/>
      <c r="J53" s="410"/>
      <c r="K53" s="411"/>
      <c r="L53" t="s" s="418">
        <f>IF(D53="","",_xlfn.IFERROR(IF(I53="","",((I53/1000)*(V53*X53))*(AH53*AF53)*AD53*AI53),"This intervention is not permitted within the SSM ▲"))</f>
      </c>
      <c r="M53" s="413"/>
      <c r="N53" s="414"/>
      <c r="O53" s="415"/>
      <c r="P53" s="315"/>
      <c r="Q53" s="380"/>
      <c r="R53" s="219"/>
      <c r="S53" s="381"/>
      <c r="T53" t="s" s="285">
        <f>IF(D53="","",VLOOKUP(D53,'9. All Habitats + Multipliers'!$C$4:$K$102,5,FALSE))</f>
      </c>
      <c r="U53" s="286"/>
      <c r="V53" t="s" s="313">
        <f>IF(T53="","",VLOOKUP(T53,'11. Lists'!$B$47:$D$49,2,FALSE))</f>
      </c>
      <c r="W53" t="s" s="285">
        <f>IF(F53="","",F53)</f>
      </c>
      <c r="X53" t="s" s="313">
        <f>IF(W53="","",VLOOKUP(W53,'11. Lists'!$F$47:$G$51,2,FALSE))</f>
      </c>
      <c r="Y53" s="510"/>
      <c r="Z53" s="511"/>
      <c r="AA53" s="512"/>
      <c r="AB53" t="s" s="285">
        <f>IF(H53="","",H53)</f>
      </c>
      <c r="AC53" t="s" s="291">
        <f>IF(AB53="","",VLOOKUP(AB53,'11. Lists'!$F$36:$H$38,2,FALSE))</f>
      </c>
      <c r="AD53" t="s" s="313">
        <f>IF(AB53="","",VLOOKUP(AB53,'11. Lists'!$F$36:$H$38,3,FALSE))</f>
      </c>
      <c r="AE53" t="s" s="285">
        <f>IF(F53="","",IF(F53="Moderate",VLOOKUP(D53,'10. Condition and Temporal'!$B$6:$L$103,6,FALSE),IF(F53="Good",VLOOKUP(D53,'10. Condition and Temporal'!$B$6:$L$103,7,FALSE),IF(F53="Poor",VLOOKUP(D53,'10. Condition and Temporal'!$B$6:$L$103,8,FALSE),IF(F53="Condition Assessment N/A",VLOOKUP(D53,'10. Condition and Temporal'!$B$6:$L$103,9,FALSE),IF(F53="N/A - Other",VLOOKUP(D53,'10. Condition and Temporal'!$B$6:$L$103,10,FALSE)))))))</f>
      </c>
      <c r="AF53" t="s" s="313">
        <f>IF(AE53="","",VLOOKUP(AE53,'11. Lists'!$I$47:$K$80,3,FALSE))</f>
      </c>
      <c r="AG53" t="s" s="285">
        <f>IF(D53="","",VLOOKUP(D53,'9. All Habitats + Multipliers'!$C$4:$K$102,7,FALSE))</f>
      </c>
      <c r="AH53" t="s" s="313">
        <f>IF(AG53="","",VLOOKUP(AG53,'11. Lists'!$J$35:$K$38,2,FALSE))</f>
      </c>
      <c r="AI53" t="s" s="813">
        <v>327</v>
      </c>
      <c r="AJ53" s="805"/>
      <c r="AK53" s="774"/>
      <c r="AL53" s="774"/>
      <c r="AM53" s="774"/>
      <c r="AN53" s="774"/>
      <c r="AO53" s="161"/>
      <c r="AP53" s="161"/>
      <c r="AQ53" s="161"/>
      <c r="AR53" s="161"/>
      <c r="AS53" s="161"/>
      <c r="AT53" s="161"/>
      <c r="AU53" s="161"/>
      <c r="AV53" s="161"/>
      <c r="AW53" s="161"/>
      <c r="AX53" s="161"/>
      <c r="AY53" s="161"/>
      <c r="AZ53" s="161"/>
      <c r="BA53" s="161"/>
      <c r="BB53" s="161"/>
      <c r="BC53" s="161"/>
      <c r="BD53" s="161"/>
      <c r="BE53" s="161"/>
      <c r="BF53" s="161"/>
      <c r="BG53" s="161"/>
      <c r="BH53" s="161"/>
      <c r="BI53" s="161"/>
      <c r="BJ53" s="161"/>
      <c r="BK53" s="161"/>
      <c r="BL53" s="161"/>
      <c r="BM53" s="161"/>
      <c r="BN53" s="161"/>
      <c r="BO53" s="161"/>
      <c r="BP53" s="161"/>
      <c r="BQ53" s="161"/>
      <c r="BR53" s="161"/>
      <c r="BS53" s="161"/>
      <c r="BT53" s="161"/>
      <c r="BU53" s="161"/>
      <c r="BV53" s="161"/>
      <c r="BW53" s="161"/>
      <c r="BX53" s="664"/>
    </row>
    <row r="54" ht="15.6" customHeight="1">
      <c r="A54" s="379"/>
      <c r="B54" s="296">
        <v>16</v>
      </c>
      <c r="C54" t="s" s="797">
        <v>326</v>
      </c>
      <c r="D54" s="315"/>
      <c r="E54" t="s" s="695">
        <f>IF(D54="","",VLOOKUP(D54,'10. Condition and Temporal'!$B$6:$D$103,3,FALSE))</f>
      </c>
      <c r="F54" s="416"/>
      <c r="G54" s="407"/>
      <c r="H54" s="417"/>
      <c r="I54" s="409"/>
      <c r="J54" s="410"/>
      <c r="K54" s="411"/>
      <c r="L54" t="s" s="418">
        <f>IF(D54="","",_xlfn.IFERROR(IF(I54="","",((I54/1000)*(V54*X54))*(AH54*AF54)*AD54*AI54),"This intervention is not permitted within the SSM ▲"))</f>
      </c>
      <c r="M54" s="413"/>
      <c r="N54" s="414"/>
      <c r="O54" s="415"/>
      <c r="P54" s="315"/>
      <c r="Q54" s="380"/>
      <c r="R54" s="219"/>
      <c r="S54" s="381"/>
      <c r="T54" t="s" s="285">
        <f>IF(D54="","",VLOOKUP(D54,'9. All Habitats + Multipliers'!$C$4:$K$102,5,FALSE))</f>
      </c>
      <c r="U54" s="286"/>
      <c r="V54" t="s" s="313">
        <f>IF(T54="","",VLOOKUP(T54,'11. Lists'!$B$47:$D$49,2,FALSE))</f>
      </c>
      <c r="W54" t="s" s="285">
        <f>IF(F54="","",F54)</f>
      </c>
      <c r="X54" t="s" s="313">
        <f>IF(W54="","",VLOOKUP(W54,'11. Lists'!$F$47:$G$51,2,FALSE))</f>
      </c>
      <c r="Y54" s="510"/>
      <c r="Z54" s="511"/>
      <c r="AA54" s="512"/>
      <c r="AB54" t="s" s="285">
        <f>IF(H54="","",H54)</f>
      </c>
      <c r="AC54" t="s" s="291">
        <f>IF(AB54="","",VLOOKUP(AB54,'11. Lists'!$F$36:$H$38,2,FALSE))</f>
      </c>
      <c r="AD54" t="s" s="313">
        <f>IF(AB54="","",VLOOKUP(AB54,'11. Lists'!$F$36:$H$38,3,FALSE))</f>
      </c>
      <c r="AE54" t="s" s="285">
        <f>IF(F54="","",IF(F54="Moderate",VLOOKUP(D54,'10. Condition and Temporal'!$B$6:$L$103,6,FALSE),IF(F54="Good",VLOOKUP(D54,'10. Condition and Temporal'!$B$6:$L$103,7,FALSE),IF(F54="Poor",VLOOKUP(D54,'10. Condition and Temporal'!$B$6:$L$103,8,FALSE),IF(F54="Condition Assessment N/A",VLOOKUP(D54,'10. Condition and Temporal'!$B$6:$L$103,9,FALSE),IF(F54="N/A - Other",VLOOKUP(D54,'10. Condition and Temporal'!$B$6:$L$103,10,FALSE)))))))</f>
      </c>
      <c r="AF54" t="s" s="313">
        <f>IF(AE54="","",VLOOKUP(AE54,'11. Lists'!$I$47:$K$80,3,FALSE))</f>
      </c>
      <c r="AG54" t="s" s="285">
        <f>IF(D54="","",VLOOKUP(D54,'9. All Habitats + Multipliers'!$C$4:$K$102,7,FALSE))</f>
      </c>
      <c r="AH54" t="s" s="313">
        <f>IF(AG54="","",VLOOKUP(AG54,'11. Lists'!$J$35:$K$38,2,FALSE))</f>
      </c>
      <c r="AI54" t="s" s="813">
        <v>327</v>
      </c>
      <c r="AJ54" s="805"/>
      <c r="AK54" s="774"/>
      <c r="AL54" s="774"/>
      <c r="AM54" s="774"/>
      <c r="AN54" s="774"/>
      <c r="AO54" s="161"/>
      <c r="AP54" s="161"/>
      <c r="AQ54" s="161"/>
      <c r="AR54" s="161"/>
      <c r="AS54" s="161"/>
      <c r="AT54" s="161"/>
      <c r="AU54" s="161"/>
      <c r="AV54" s="161"/>
      <c r="AW54" s="161"/>
      <c r="AX54" s="161"/>
      <c r="AY54" s="161"/>
      <c r="AZ54" s="161"/>
      <c r="BA54" s="161"/>
      <c r="BB54" s="161"/>
      <c r="BC54" s="161"/>
      <c r="BD54" s="161"/>
      <c r="BE54" s="161"/>
      <c r="BF54" s="161"/>
      <c r="BG54" s="161"/>
      <c r="BH54" s="161"/>
      <c r="BI54" s="161"/>
      <c r="BJ54" s="161"/>
      <c r="BK54" s="161"/>
      <c r="BL54" s="161"/>
      <c r="BM54" s="161"/>
      <c r="BN54" s="161"/>
      <c r="BO54" s="161"/>
      <c r="BP54" s="161"/>
      <c r="BQ54" s="161"/>
      <c r="BR54" s="161"/>
      <c r="BS54" s="161"/>
      <c r="BT54" s="161"/>
      <c r="BU54" s="161"/>
      <c r="BV54" s="161"/>
      <c r="BW54" s="161"/>
      <c r="BX54" s="664"/>
    </row>
    <row r="55" ht="15.6" customHeight="1">
      <c r="A55" s="379"/>
      <c r="B55" s="296">
        <v>17</v>
      </c>
      <c r="C55" t="s" s="797">
        <v>326</v>
      </c>
      <c r="D55" s="315"/>
      <c r="E55" t="s" s="695">
        <f>IF(D55="","",VLOOKUP(D55,'10. Condition and Temporal'!$B$6:$D$103,3,FALSE))</f>
      </c>
      <c r="F55" s="416"/>
      <c r="G55" s="407"/>
      <c r="H55" s="417"/>
      <c r="I55" s="409"/>
      <c r="J55" s="410"/>
      <c r="K55" s="411"/>
      <c r="L55" t="s" s="418">
        <f>IF(D55="","",_xlfn.IFERROR(IF(I55="","",((I55/1000)*(V55*X55))*(AH55*AF55)*AD55*AI55),"This intervention is not permitted within the SSM ▲"))</f>
      </c>
      <c r="M55" s="413"/>
      <c r="N55" s="414"/>
      <c r="O55" s="415"/>
      <c r="P55" s="315"/>
      <c r="Q55" s="380"/>
      <c r="R55" s="219"/>
      <c r="S55" s="381"/>
      <c r="T55" t="s" s="285">
        <f>IF(D55="","",VLOOKUP(D55,'9. All Habitats + Multipliers'!$C$4:$K$102,5,FALSE))</f>
      </c>
      <c r="U55" s="286"/>
      <c r="V55" t="s" s="313">
        <f>IF(T55="","",VLOOKUP(T55,'11. Lists'!$B$47:$D$49,2,FALSE))</f>
      </c>
      <c r="W55" t="s" s="285">
        <f>IF(F55="","",F55)</f>
      </c>
      <c r="X55" t="s" s="313">
        <f>IF(W55="","",VLOOKUP(W55,'11. Lists'!$F$47:$G$51,2,FALSE))</f>
      </c>
      <c r="Y55" s="510"/>
      <c r="Z55" s="511"/>
      <c r="AA55" s="512"/>
      <c r="AB55" t="s" s="285">
        <f>IF(H55="","",H55)</f>
      </c>
      <c r="AC55" t="s" s="291">
        <f>IF(AB55="","",VLOOKUP(AB55,'11. Lists'!$F$36:$H$38,2,FALSE))</f>
      </c>
      <c r="AD55" t="s" s="313">
        <f>IF(AB55="","",VLOOKUP(AB55,'11. Lists'!$F$36:$H$38,3,FALSE))</f>
      </c>
      <c r="AE55" t="s" s="285">
        <f>IF(F55="","",IF(F55="Moderate",VLOOKUP(D55,'10. Condition and Temporal'!$B$6:$L$103,6,FALSE),IF(F55="Good",VLOOKUP(D55,'10. Condition and Temporal'!$B$6:$L$103,7,FALSE),IF(F55="Poor",VLOOKUP(D55,'10. Condition and Temporal'!$B$6:$L$103,8,FALSE),IF(F55="Condition Assessment N/A",VLOOKUP(D55,'10. Condition and Temporal'!$B$6:$L$103,9,FALSE),IF(F55="N/A - Other",VLOOKUP(D55,'10. Condition and Temporal'!$B$6:$L$103,10,FALSE)))))))</f>
      </c>
      <c r="AF55" t="s" s="313">
        <f>IF(AE55="","",VLOOKUP(AE55,'11. Lists'!$I$47:$K$80,3,FALSE))</f>
      </c>
      <c r="AG55" t="s" s="285">
        <f>IF(D55="","",VLOOKUP(D55,'9. All Habitats + Multipliers'!$C$4:$K$102,7,FALSE))</f>
      </c>
      <c r="AH55" t="s" s="313">
        <f>IF(AG55="","",VLOOKUP(AG55,'11. Lists'!$J$35:$K$38,2,FALSE))</f>
      </c>
      <c r="AI55" t="s" s="813">
        <v>327</v>
      </c>
      <c r="AJ55" s="805"/>
      <c r="AK55" s="774"/>
      <c r="AL55" s="774"/>
      <c r="AM55" s="774"/>
      <c r="AN55" s="774"/>
      <c r="AO55" s="161"/>
      <c r="AP55" s="161"/>
      <c r="AQ55" s="161"/>
      <c r="AR55" s="161"/>
      <c r="AS55" s="161"/>
      <c r="AT55" s="161"/>
      <c r="AU55" s="161"/>
      <c r="AV55" s="161"/>
      <c r="AW55" s="161"/>
      <c r="AX55" s="161"/>
      <c r="AY55" s="161"/>
      <c r="AZ55" s="161"/>
      <c r="BA55" s="161"/>
      <c r="BB55" s="161"/>
      <c r="BC55" s="161"/>
      <c r="BD55" s="161"/>
      <c r="BE55" s="161"/>
      <c r="BF55" s="161"/>
      <c r="BG55" s="161"/>
      <c r="BH55" s="161"/>
      <c r="BI55" s="161"/>
      <c r="BJ55" s="161"/>
      <c r="BK55" s="161"/>
      <c r="BL55" s="161"/>
      <c r="BM55" s="161"/>
      <c r="BN55" s="161"/>
      <c r="BO55" s="161"/>
      <c r="BP55" s="161"/>
      <c r="BQ55" s="161"/>
      <c r="BR55" s="161"/>
      <c r="BS55" s="161"/>
      <c r="BT55" s="161"/>
      <c r="BU55" s="161"/>
      <c r="BV55" s="161"/>
      <c r="BW55" s="161"/>
      <c r="BX55" s="664"/>
    </row>
    <row r="56" ht="15.6" customHeight="1">
      <c r="A56" s="379"/>
      <c r="B56" s="296">
        <v>18</v>
      </c>
      <c r="C56" t="s" s="797">
        <v>326</v>
      </c>
      <c r="D56" s="315"/>
      <c r="E56" t="s" s="695">
        <f>IF(D56="","",VLOOKUP(D56,'10. Condition and Temporal'!$B$6:$D$103,3,FALSE))</f>
      </c>
      <c r="F56" s="416"/>
      <c r="G56" s="407"/>
      <c r="H56" s="417"/>
      <c r="I56" s="409"/>
      <c r="J56" s="410"/>
      <c r="K56" s="411"/>
      <c r="L56" t="s" s="418">
        <f>IF(D56="","",_xlfn.IFERROR(IF(I56="","",((I56/1000)*(V56*X56))*(AH56*AF56)*AD56*AI56),"This intervention is not permitted within the SSM ▲"))</f>
      </c>
      <c r="M56" s="413"/>
      <c r="N56" s="414"/>
      <c r="O56" s="415"/>
      <c r="P56" s="315"/>
      <c r="Q56" s="380"/>
      <c r="R56" s="219"/>
      <c r="S56" s="381"/>
      <c r="T56" t="s" s="285">
        <f>IF(D56="","",VLOOKUP(D56,'9. All Habitats + Multipliers'!$C$4:$K$102,5,FALSE))</f>
      </c>
      <c r="U56" s="286"/>
      <c r="V56" t="s" s="313">
        <f>IF(T56="","",VLOOKUP(T56,'11. Lists'!$B$47:$D$49,2,FALSE))</f>
      </c>
      <c r="W56" t="s" s="285">
        <f>IF(F56="","",F56)</f>
      </c>
      <c r="X56" t="s" s="313">
        <f>IF(W56="","",VLOOKUP(W56,'11. Lists'!$F$47:$G$51,2,FALSE))</f>
      </c>
      <c r="Y56" s="510"/>
      <c r="Z56" s="511"/>
      <c r="AA56" s="512"/>
      <c r="AB56" t="s" s="285">
        <f>IF(H56="","",H56)</f>
      </c>
      <c r="AC56" t="s" s="291">
        <f>IF(AB56="","",VLOOKUP(AB56,'11. Lists'!$F$36:$H$38,2,FALSE))</f>
      </c>
      <c r="AD56" t="s" s="313">
        <f>IF(AB56="","",VLOOKUP(AB56,'11. Lists'!$F$36:$H$38,3,FALSE))</f>
      </c>
      <c r="AE56" t="s" s="285">
        <f>IF(F56="","",IF(F56="Moderate",VLOOKUP(D56,'10. Condition and Temporal'!$B$6:$L$103,6,FALSE),IF(F56="Good",VLOOKUP(D56,'10. Condition and Temporal'!$B$6:$L$103,7,FALSE),IF(F56="Poor",VLOOKUP(D56,'10. Condition and Temporal'!$B$6:$L$103,8,FALSE),IF(F56="Condition Assessment N/A",VLOOKUP(D56,'10. Condition and Temporal'!$B$6:$L$103,9,FALSE),IF(F56="N/A - Other",VLOOKUP(D56,'10. Condition and Temporal'!$B$6:$L$103,10,FALSE)))))))</f>
      </c>
      <c r="AF56" t="s" s="313">
        <f>IF(AE56="","",VLOOKUP(AE56,'11. Lists'!$I$47:$K$80,3,FALSE))</f>
      </c>
      <c r="AG56" t="s" s="285">
        <f>IF(D56="","",VLOOKUP(D56,'9. All Habitats + Multipliers'!$C$4:$K$102,7,FALSE))</f>
      </c>
      <c r="AH56" t="s" s="313">
        <f>IF(AG56="","",VLOOKUP(AG56,'11. Lists'!$J$35:$K$38,2,FALSE))</f>
      </c>
      <c r="AI56" t="s" s="813">
        <v>327</v>
      </c>
      <c r="AJ56" s="805"/>
      <c r="AK56" s="774"/>
      <c r="AL56" s="774"/>
      <c r="AM56" s="774"/>
      <c r="AN56" s="774"/>
      <c r="AO56" s="161"/>
      <c r="AP56" s="161"/>
      <c r="AQ56" s="161"/>
      <c r="AR56" s="161"/>
      <c r="AS56" s="161"/>
      <c r="AT56" s="161"/>
      <c r="AU56" s="161"/>
      <c r="AV56" s="161"/>
      <c r="AW56" s="161"/>
      <c r="AX56" s="161"/>
      <c r="AY56" s="161"/>
      <c r="AZ56" s="161"/>
      <c r="BA56" s="161"/>
      <c r="BB56" s="161"/>
      <c r="BC56" s="161"/>
      <c r="BD56" s="161"/>
      <c r="BE56" s="161"/>
      <c r="BF56" s="161"/>
      <c r="BG56" s="161"/>
      <c r="BH56" s="161"/>
      <c r="BI56" s="161"/>
      <c r="BJ56" s="161"/>
      <c r="BK56" s="161"/>
      <c r="BL56" s="161"/>
      <c r="BM56" s="161"/>
      <c r="BN56" s="161"/>
      <c r="BO56" s="161"/>
      <c r="BP56" s="161"/>
      <c r="BQ56" s="161"/>
      <c r="BR56" s="161"/>
      <c r="BS56" s="161"/>
      <c r="BT56" s="161"/>
      <c r="BU56" s="161"/>
      <c r="BV56" s="161"/>
      <c r="BW56" s="161"/>
      <c r="BX56" s="664"/>
    </row>
    <row r="57" ht="15.6" customHeight="1">
      <c r="A57" s="379"/>
      <c r="B57" s="296">
        <v>19</v>
      </c>
      <c r="C57" t="s" s="797">
        <v>326</v>
      </c>
      <c r="D57" s="315"/>
      <c r="E57" t="s" s="695">
        <f>IF(D57="","",VLOOKUP(D57,'10. Condition and Temporal'!$B$6:$D$103,3,FALSE))</f>
      </c>
      <c r="F57" s="416"/>
      <c r="G57" s="407"/>
      <c r="H57" s="417"/>
      <c r="I57" s="409"/>
      <c r="J57" s="410"/>
      <c r="K57" s="411"/>
      <c r="L57" t="s" s="418">
        <f>IF(D57="","",_xlfn.IFERROR(IF(I57="","",((I57/1000)*(V57*X57))*(AH57*AF57)*AD57*AI57),"This intervention is not permitted within the SSM ▲"))</f>
      </c>
      <c r="M57" s="413"/>
      <c r="N57" s="414"/>
      <c r="O57" s="415"/>
      <c r="P57" s="315"/>
      <c r="Q57" s="380"/>
      <c r="R57" s="219"/>
      <c r="S57" s="381"/>
      <c r="T57" t="s" s="285">
        <f>IF(D57="","",VLOOKUP(D57,'9. All Habitats + Multipliers'!$C$4:$K$102,5,FALSE))</f>
      </c>
      <c r="U57" s="286"/>
      <c r="V57" t="s" s="313">
        <f>IF(T57="","",VLOOKUP(T57,'11. Lists'!$B$47:$D$49,2,FALSE))</f>
      </c>
      <c r="W57" t="s" s="285">
        <f>IF(F57="","",F57)</f>
      </c>
      <c r="X57" t="s" s="313">
        <f>IF(W57="","",VLOOKUP(W57,'11. Lists'!$F$47:$G$51,2,FALSE))</f>
      </c>
      <c r="Y57" s="510"/>
      <c r="Z57" s="511"/>
      <c r="AA57" s="512"/>
      <c r="AB57" t="s" s="285">
        <f>IF(H57="","",H57)</f>
      </c>
      <c r="AC57" t="s" s="291">
        <f>IF(AB57="","",VLOOKUP(AB57,'11. Lists'!$F$36:$H$38,2,FALSE))</f>
      </c>
      <c r="AD57" t="s" s="313">
        <f>IF(AB57="","",VLOOKUP(AB57,'11. Lists'!$F$36:$H$38,3,FALSE))</f>
      </c>
      <c r="AE57" t="s" s="285">
        <f>IF(F57="","",IF(F57="Moderate",VLOOKUP(D57,'10. Condition and Temporal'!$B$6:$L$103,6,FALSE),IF(F57="Good",VLOOKUP(D57,'10. Condition and Temporal'!$B$6:$L$103,7,FALSE),IF(F57="Poor",VLOOKUP(D57,'10. Condition and Temporal'!$B$6:$L$103,8,FALSE),IF(F57="Condition Assessment N/A",VLOOKUP(D57,'10. Condition and Temporal'!$B$6:$L$103,9,FALSE),IF(F57="N/A - Other",VLOOKUP(D57,'10. Condition and Temporal'!$B$6:$L$103,10,FALSE)))))))</f>
      </c>
      <c r="AF57" t="s" s="313">
        <f>IF(AE57="","",VLOOKUP(AE57,'11. Lists'!$I$47:$K$80,3,FALSE))</f>
      </c>
      <c r="AG57" t="s" s="285">
        <f>IF(D57="","",VLOOKUP(D57,'9. All Habitats + Multipliers'!$C$4:$K$102,7,FALSE))</f>
      </c>
      <c r="AH57" t="s" s="313">
        <f>IF(AG57="","",VLOOKUP(AG57,'11. Lists'!$J$35:$K$38,2,FALSE))</f>
      </c>
      <c r="AI57" t="s" s="813">
        <v>327</v>
      </c>
      <c r="AJ57" s="805"/>
      <c r="AK57" s="774"/>
      <c r="AL57" s="774"/>
      <c r="AM57" s="774"/>
      <c r="AN57" s="774"/>
      <c r="AO57" s="161"/>
      <c r="AP57" s="161"/>
      <c r="AQ57" s="161"/>
      <c r="AR57" s="161"/>
      <c r="AS57" s="161"/>
      <c r="AT57" s="161"/>
      <c r="AU57" s="161"/>
      <c r="AV57" s="161"/>
      <c r="AW57" s="161"/>
      <c r="AX57" s="161"/>
      <c r="AY57" s="161"/>
      <c r="AZ57" s="161"/>
      <c r="BA57" s="161"/>
      <c r="BB57" s="161"/>
      <c r="BC57" s="161"/>
      <c r="BD57" s="161"/>
      <c r="BE57" s="161"/>
      <c r="BF57" s="161"/>
      <c r="BG57" s="161"/>
      <c r="BH57" s="161"/>
      <c r="BI57" s="161"/>
      <c r="BJ57" s="161"/>
      <c r="BK57" s="161"/>
      <c r="BL57" s="161"/>
      <c r="BM57" s="161"/>
      <c r="BN57" s="161"/>
      <c r="BO57" s="161"/>
      <c r="BP57" s="161"/>
      <c r="BQ57" s="161"/>
      <c r="BR57" s="161"/>
      <c r="BS57" s="161"/>
      <c r="BT57" s="161"/>
      <c r="BU57" s="161"/>
      <c r="BV57" s="161"/>
      <c r="BW57" s="161"/>
      <c r="BX57" s="664"/>
    </row>
    <row r="58" ht="15.95" customHeight="1">
      <c r="A58" s="379"/>
      <c r="B58" s="419">
        <v>20</v>
      </c>
      <c r="C58" t="s" s="798">
        <v>326</v>
      </c>
      <c r="D58" s="338"/>
      <c r="E58" t="s" s="701">
        <f>IF(D58="","",VLOOKUP(D58,'10. Condition and Temporal'!$B$6:$D$103,3,FALSE))</f>
      </c>
      <c r="F58" s="421"/>
      <c r="G58" s="422"/>
      <c r="H58" s="423"/>
      <c r="I58" s="424"/>
      <c r="J58" s="425"/>
      <c r="K58" s="426"/>
      <c r="L58" t="s" s="427">
        <f>IF(D58="","",_xlfn.IFERROR(IF(I58="","",((I58/1000)*(V58*X58))*(AH58*AF58)*AD58*AI58),"This intervention is not permitted within the SSM ▲"))</f>
      </c>
      <c r="M58" s="428"/>
      <c r="N58" s="429"/>
      <c r="O58" s="337"/>
      <c r="P58" s="338"/>
      <c r="Q58" s="380"/>
      <c r="R58" s="219"/>
      <c r="S58" s="381"/>
      <c r="T58" t="s" s="339">
        <f>IF(D58="","",VLOOKUP(D58,'9. All Habitats + Multipliers'!$C$4:$K$102,5,FALSE))</f>
      </c>
      <c r="U58" s="340"/>
      <c r="V58" t="s" s="531">
        <f>IF(T58="","",VLOOKUP(T58,'11. Lists'!$B$47:$D$49,2,FALSE))</f>
      </c>
      <c r="W58" t="s" s="339">
        <f>IF(F58="","",F58)</f>
      </c>
      <c r="X58" t="s" s="531">
        <f>IF(W58="","",VLOOKUP(W58,'11. Lists'!$F$47:$G$51,2,FALSE))</f>
      </c>
      <c r="Y58" s="510"/>
      <c r="Z58" s="511"/>
      <c r="AA58" s="512"/>
      <c r="AB58" t="s" s="339">
        <f>IF(H58="","",H58)</f>
      </c>
      <c r="AC58" t="s" s="342">
        <f>IF(AB58="","",VLOOKUP(AB58,'11. Lists'!$F$36:$H$38,2,FALSE))</f>
      </c>
      <c r="AD58" t="s" s="531">
        <f>IF(AB58="","",VLOOKUP(AB58,'11. Lists'!$F$36:$H$38,3,FALSE))</f>
      </c>
      <c r="AE58" t="s" s="339">
        <f>IF(F58="","",IF(F58="Moderate",VLOOKUP(D58,'10. Condition and Temporal'!$B$6:$L$103,6,FALSE),IF(F58="Good",VLOOKUP(D58,'10. Condition and Temporal'!$B$6:$L$103,7,FALSE),IF(F58="Poor",VLOOKUP(D58,'10. Condition and Temporal'!$B$6:$L$103,8,FALSE),IF(F58="Condition Assessment N/A",VLOOKUP(D58,'10. Condition and Temporal'!$B$6:$L$103,9,FALSE),IF(F58="N/A - Other",VLOOKUP(D58,'10. Condition and Temporal'!$B$6:$L$103,10,FALSE)))))))</f>
      </c>
      <c r="AF58" t="s" s="531">
        <f>IF(AE58="","",VLOOKUP(AE58,'11. Lists'!$I$47:$K$80,3,FALSE))</f>
      </c>
      <c r="AG58" t="s" s="339">
        <f>IF(D58="","",VLOOKUP(D58,'9. All Habitats + Multipliers'!$C$4:$K$102,7,FALSE))</f>
      </c>
      <c r="AH58" t="s" s="531">
        <f>IF(AG58="","",VLOOKUP(AG58,'11. Lists'!$J$35:$K$38,2,FALSE))</f>
      </c>
      <c r="AI58" t="s" s="814">
        <v>327</v>
      </c>
      <c r="AJ58" s="805"/>
      <c r="AK58" s="774"/>
      <c r="AL58" s="774"/>
      <c r="AM58" s="774"/>
      <c r="AN58" s="774"/>
      <c r="AO58" s="161"/>
      <c r="AP58" s="161"/>
      <c r="AQ58" s="161"/>
      <c r="AR58" s="161"/>
      <c r="AS58" s="161"/>
      <c r="AT58" s="161"/>
      <c r="AU58" s="161"/>
      <c r="AV58" s="161"/>
      <c r="AW58" s="161"/>
      <c r="AX58" s="161"/>
      <c r="AY58" s="161"/>
      <c r="AZ58" s="161"/>
      <c r="BA58" s="161"/>
      <c r="BB58" s="161"/>
      <c r="BC58" s="161"/>
      <c r="BD58" s="161"/>
      <c r="BE58" s="161"/>
      <c r="BF58" s="161"/>
      <c r="BG58" s="161"/>
      <c r="BH58" s="161"/>
      <c r="BI58" s="161"/>
      <c r="BJ58" s="161"/>
      <c r="BK58" s="161"/>
      <c r="BL58" s="161"/>
      <c r="BM58" s="161"/>
      <c r="BN58" s="161"/>
      <c r="BO58" s="161"/>
      <c r="BP58" s="161"/>
      <c r="BQ58" s="161"/>
      <c r="BR58" s="161"/>
      <c r="BS58" s="161"/>
      <c r="BT58" s="161"/>
      <c r="BU58" s="161"/>
      <c r="BV58" s="161"/>
      <c r="BW58" s="161"/>
      <c r="BX58" s="664"/>
    </row>
    <row r="59" ht="15" customHeight="1">
      <c r="A59" s="347"/>
      <c r="B59" s="348"/>
      <c r="C59" s="348"/>
      <c r="D59" s="348"/>
      <c r="E59" s="348"/>
      <c r="F59" s="348"/>
      <c r="G59" s="443"/>
      <c r="H59" t="s" s="726">
        <v>300</v>
      </c>
      <c r="I59" s="445">
        <f>SUM(I39:K58)</f>
        <v>0</v>
      </c>
      <c r="J59" s="446"/>
      <c r="K59" s="447"/>
      <c r="L59" s="448">
        <f>SUM(L39:N58)</f>
        <v>0</v>
      </c>
      <c r="M59" s="449"/>
      <c r="N59" s="450"/>
      <c r="O59" s="355"/>
      <c r="P59" s="348"/>
      <c r="Q59" s="161"/>
      <c r="R59" s="219"/>
      <c r="S59" s="161"/>
      <c r="T59" s="348"/>
      <c r="U59" s="348"/>
      <c r="V59" s="348"/>
      <c r="W59" s="348"/>
      <c r="X59" s="348"/>
      <c r="Y59" s="356"/>
      <c r="Z59" s="356"/>
      <c r="AA59" s="356"/>
      <c r="AB59" s="348"/>
      <c r="AC59" s="348"/>
      <c r="AD59" s="348"/>
      <c r="AE59" s="348"/>
      <c r="AF59" s="348"/>
      <c r="AG59" s="348"/>
      <c r="AH59" s="348"/>
      <c r="AI59" s="348"/>
      <c r="AJ59" s="774"/>
      <c r="AK59" s="774"/>
      <c r="AL59" s="774"/>
      <c r="AM59" s="774"/>
      <c r="AN59" s="774"/>
      <c r="AO59" s="161"/>
      <c r="AP59" s="161"/>
      <c r="AQ59" s="161"/>
      <c r="AR59" s="161"/>
      <c r="AS59" s="161"/>
      <c r="AT59" s="161"/>
      <c r="AU59" s="161"/>
      <c r="AV59" s="161"/>
      <c r="AW59" s="161"/>
      <c r="AX59" s="161"/>
      <c r="AY59" s="161"/>
      <c r="AZ59" s="161"/>
      <c r="BA59" s="161"/>
      <c r="BB59" s="161"/>
      <c r="BC59" s="161"/>
      <c r="BD59" s="161"/>
      <c r="BE59" s="161"/>
      <c r="BF59" s="161"/>
      <c r="BG59" s="161"/>
      <c r="BH59" s="161"/>
      <c r="BI59" s="161"/>
      <c r="BJ59" s="161"/>
      <c r="BK59" s="161"/>
      <c r="BL59" s="161"/>
      <c r="BM59" s="161"/>
      <c r="BN59" s="161"/>
      <c r="BO59" s="161"/>
      <c r="BP59" s="161"/>
      <c r="BQ59" s="161"/>
      <c r="BR59" s="161"/>
      <c r="BS59" s="161"/>
      <c r="BT59" s="161"/>
      <c r="BU59" s="161"/>
      <c r="BV59" s="161"/>
      <c r="BW59" s="161"/>
      <c r="BX59" s="664"/>
    </row>
    <row r="60" ht="14.05" customHeight="1">
      <c r="A60" s="347"/>
      <c r="B60" s="161"/>
      <c r="C60" s="161"/>
      <c r="D60" s="161"/>
      <c r="E60" s="161"/>
      <c r="F60" s="161"/>
      <c r="G60" s="161"/>
      <c r="H60" s="348"/>
      <c r="I60" s="348"/>
      <c r="J60" s="348"/>
      <c r="K60" s="348"/>
      <c r="L60" s="348"/>
      <c r="M60" s="348"/>
      <c r="N60" s="348"/>
      <c r="O60" s="161"/>
      <c r="P60" s="161"/>
      <c r="Q60" s="161"/>
      <c r="R60" s="219"/>
      <c r="S60" s="161"/>
      <c r="T60" s="161"/>
      <c r="U60" s="161"/>
      <c r="V60" s="161"/>
      <c r="W60" s="161"/>
      <c r="X60" s="161"/>
      <c r="Y60" s="161"/>
      <c r="Z60" s="161"/>
      <c r="AA60" s="161"/>
      <c r="AB60" s="161"/>
      <c r="AC60" s="161"/>
      <c r="AD60" s="161"/>
      <c r="AE60" s="161"/>
      <c r="AF60" s="161"/>
      <c r="AG60" s="161"/>
      <c r="AH60" s="161"/>
      <c r="AI60" s="161"/>
      <c r="AJ60" s="774"/>
      <c r="AK60" s="774"/>
      <c r="AL60" s="774"/>
      <c r="AM60" s="774"/>
      <c r="AN60" s="774"/>
      <c r="AO60" s="161"/>
      <c r="AP60" s="161"/>
      <c r="AQ60" s="161"/>
      <c r="AR60" s="161"/>
      <c r="AS60" s="161"/>
      <c r="AT60" s="161"/>
      <c r="AU60" s="161"/>
      <c r="AV60" s="161"/>
      <c r="AW60" s="161"/>
      <c r="AX60" s="161"/>
      <c r="AY60" s="161"/>
      <c r="AZ60" s="161"/>
      <c r="BA60" s="455"/>
      <c r="BB60" s="161"/>
      <c r="BC60" s="161"/>
      <c r="BD60" s="161"/>
      <c r="BE60" s="161"/>
      <c r="BF60" s="161"/>
      <c r="BG60" s="161"/>
      <c r="BH60" s="161"/>
      <c r="BI60" s="161"/>
      <c r="BJ60" s="161"/>
      <c r="BK60" s="161"/>
      <c r="BL60" s="161"/>
      <c r="BM60" s="161"/>
      <c r="BN60" s="161"/>
      <c r="BO60" s="161"/>
      <c r="BP60" s="161"/>
      <c r="BQ60" s="161"/>
      <c r="BR60" s="161"/>
      <c r="BS60" s="161"/>
      <c r="BT60" s="161"/>
      <c r="BU60" s="161"/>
      <c r="BV60" s="161"/>
      <c r="BW60" s="161"/>
      <c r="BX60" s="664"/>
    </row>
    <row r="61" ht="13.55" customHeight="1">
      <c r="A61" s="347"/>
      <c r="B61" s="161"/>
      <c r="C61" s="161"/>
      <c r="D61" s="161"/>
      <c r="E61" s="161"/>
      <c r="F61" s="161"/>
      <c r="G61" s="161"/>
      <c r="H61" s="161"/>
      <c r="I61" s="161"/>
      <c r="J61" s="161"/>
      <c r="K61" s="161"/>
      <c r="L61" s="161"/>
      <c r="M61" s="161"/>
      <c r="N61" s="161"/>
      <c r="O61" s="161"/>
      <c r="P61" s="161"/>
      <c r="Q61" s="161"/>
      <c r="R61" s="219"/>
      <c r="S61" s="161"/>
      <c r="T61" s="161"/>
      <c r="U61" s="161"/>
      <c r="V61" s="161"/>
      <c r="W61" s="161"/>
      <c r="X61" s="161"/>
      <c r="Y61" s="161"/>
      <c r="Z61" s="161"/>
      <c r="AA61" s="161"/>
      <c r="AB61" s="161"/>
      <c r="AC61" s="161"/>
      <c r="AD61" s="161"/>
      <c r="AE61" s="161"/>
      <c r="AF61" s="161"/>
      <c r="AG61" s="161"/>
      <c r="AH61" s="161"/>
      <c r="AI61" s="161"/>
      <c r="AJ61" s="774"/>
      <c r="AK61" s="774"/>
      <c r="AL61" s="774"/>
      <c r="AM61" s="774"/>
      <c r="AN61" s="774"/>
      <c r="AO61" s="161"/>
      <c r="AP61" s="161"/>
      <c r="AQ61" s="161"/>
      <c r="AR61" s="161"/>
      <c r="AS61" s="161"/>
      <c r="AT61" s="161"/>
      <c r="AU61" s="161"/>
      <c r="AV61" s="161"/>
      <c r="AW61" s="161"/>
      <c r="AX61" s="161"/>
      <c r="AY61" s="161"/>
      <c r="AZ61" s="457"/>
      <c r="BA61" t="s" s="458">
        <v>184</v>
      </c>
      <c r="BB61" s="459"/>
      <c r="BC61" s="161"/>
      <c r="BD61" s="161"/>
      <c r="BE61" s="161"/>
      <c r="BF61" s="161"/>
      <c r="BG61" s="161"/>
      <c r="BH61" s="161"/>
      <c r="BI61" s="161"/>
      <c r="BJ61" s="161"/>
      <c r="BK61" s="161"/>
      <c r="BL61" s="161"/>
      <c r="BM61" s="161"/>
      <c r="BN61" s="161"/>
      <c r="BO61" s="161"/>
      <c r="BP61" s="161"/>
      <c r="BQ61" s="161"/>
      <c r="BR61" s="161"/>
      <c r="BS61" s="161"/>
      <c r="BT61" s="161"/>
      <c r="BU61" s="161"/>
      <c r="BV61" s="161"/>
      <c r="BW61" s="161"/>
      <c r="BX61" s="664"/>
    </row>
    <row r="62" ht="21" customHeight="1">
      <c r="A62" s="347"/>
      <c r="B62" t="s" s="374">
        <v>185</v>
      </c>
      <c r="C62" s="161"/>
      <c r="D62" s="375"/>
      <c r="E62" s="161"/>
      <c r="F62" s="161"/>
      <c r="G62" s="161"/>
      <c r="H62" s="460"/>
      <c r="I62" s="161"/>
      <c r="J62" s="161"/>
      <c r="K62" s="161"/>
      <c r="L62" s="161"/>
      <c r="M62" s="161"/>
      <c r="N62" s="161"/>
      <c r="O62" s="161"/>
      <c r="P62" s="161"/>
      <c r="Q62" s="161"/>
      <c r="R62" s="219"/>
      <c r="S62" s="161"/>
      <c r="T62" s="161"/>
      <c r="U62" s="161"/>
      <c r="V62" s="161"/>
      <c r="W62" s="161"/>
      <c r="X62" s="161"/>
      <c r="Y62" s="161"/>
      <c r="Z62" s="161"/>
      <c r="AA62" s="161"/>
      <c r="AB62" s="161"/>
      <c r="AC62" s="161"/>
      <c r="AD62" s="161"/>
      <c r="AE62" s="161"/>
      <c r="AF62" s="161"/>
      <c r="AG62" s="161"/>
      <c r="AH62" s="161"/>
      <c r="AI62" s="161"/>
      <c r="AJ62" s="774"/>
      <c r="AK62" s="774"/>
      <c r="AL62" s="774"/>
      <c r="AM62" s="774"/>
      <c r="AN62" s="774"/>
      <c r="AO62" s="161"/>
      <c r="AP62" s="161"/>
      <c r="AQ62" s="161"/>
      <c r="AR62" s="161"/>
      <c r="AS62" s="161"/>
      <c r="AT62" s="161"/>
      <c r="AU62" s="161"/>
      <c r="AV62" s="161"/>
      <c r="AW62" s="161"/>
      <c r="AX62" s="161"/>
      <c r="AY62" s="161"/>
      <c r="AZ62" s="457"/>
      <c r="BA62" t="s" s="458">
        <v>186</v>
      </c>
      <c r="BB62" s="459"/>
      <c r="BC62" s="161"/>
      <c r="BD62" s="161"/>
      <c r="BE62" s="161"/>
      <c r="BF62" s="161"/>
      <c r="BG62" s="161"/>
      <c r="BH62" s="161"/>
      <c r="BI62" s="161"/>
      <c r="BJ62" s="161"/>
      <c r="BK62" s="161"/>
      <c r="BL62" s="161"/>
      <c r="BM62" s="161"/>
      <c r="BN62" s="161"/>
      <c r="BO62" s="161"/>
      <c r="BP62" s="161"/>
      <c r="BQ62" s="161"/>
      <c r="BR62" s="161"/>
      <c r="BS62" s="161"/>
      <c r="BT62" s="161"/>
      <c r="BU62" s="161"/>
      <c r="BV62" s="161"/>
      <c r="BW62" s="161"/>
      <c r="BX62" s="664"/>
    </row>
    <row r="63" ht="15" customHeight="1">
      <c r="A63" s="713"/>
      <c r="B63" s="378"/>
      <c r="C63" s="378"/>
      <c r="D63" s="378"/>
      <c r="E63" s="378"/>
      <c r="F63" s="378"/>
      <c r="G63" s="378"/>
      <c r="H63" s="378"/>
      <c r="I63" s="378"/>
      <c r="J63" s="378"/>
      <c r="K63" s="378"/>
      <c r="L63" s="378"/>
      <c r="M63" s="378"/>
      <c r="N63" s="378"/>
      <c r="O63" s="378"/>
      <c r="P63" s="378"/>
      <c r="Q63" s="161"/>
      <c r="R63" s="219"/>
      <c r="S63" s="161"/>
      <c r="T63" s="378"/>
      <c r="U63" s="378"/>
      <c r="V63" s="378"/>
      <c r="W63" s="378"/>
      <c r="X63" s="378"/>
      <c r="Y63" s="378"/>
      <c r="Z63" s="378"/>
      <c r="AA63" s="378"/>
      <c r="AB63" s="378"/>
      <c r="AC63" s="378"/>
      <c r="AD63" s="378"/>
      <c r="AE63" s="378"/>
      <c r="AF63" s="378"/>
      <c r="AG63" s="378"/>
      <c r="AH63" s="378"/>
      <c r="AI63" s="378"/>
      <c r="AJ63" s="815"/>
      <c r="AK63" s="815"/>
      <c r="AL63" s="815"/>
      <c r="AM63" s="815"/>
      <c r="AN63" s="815"/>
      <c r="AO63" s="378"/>
      <c r="AP63" s="378"/>
      <c r="AQ63" s="378"/>
      <c r="AR63" s="378"/>
      <c r="AS63" s="378"/>
      <c r="AT63" s="378"/>
      <c r="AU63" s="378"/>
      <c r="AV63" s="378"/>
      <c r="AW63" s="161"/>
      <c r="AX63" s="161"/>
      <c r="AY63" s="161"/>
      <c r="AZ63" s="457"/>
      <c r="BA63" t="s" s="816">
        <v>199</v>
      </c>
      <c r="BB63" s="817"/>
      <c r="BC63" s="378"/>
      <c r="BD63" s="378"/>
      <c r="BE63" s="378"/>
      <c r="BF63" s="378"/>
      <c r="BG63" s="378"/>
      <c r="BH63" s="378"/>
      <c r="BI63" s="378"/>
      <c r="BJ63" s="378"/>
      <c r="BK63" s="378"/>
      <c r="BL63" s="378"/>
      <c r="BM63" s="378"/>
      <c r="BN63" s="378"/>
      <c r="BO63" s="378"/>
      <c r="BP63" s="378"/>
      <c r="BQ63" s="378"/>
      <c r="BR63" s="378"/>
      <c r="BS63" s="378"/>
      <c r="BT63" s="378"/>
      <c r="BU63" s="378"/>
      <c r="BV63" s="161"/>
      <c r="BW63" s="161"/>
      <c r="BX63" s="664"/>
    </row>
    <row r="64" ht="16.35" customHeight="1">
      <c r="A64" s="714"/>
      <c r="B64" t="s" s="462">
        <v>187</v>
      </c>
      <c r="C64" t="s" s="252">
        <v>188</v>
      </c>
      <c r="D64" s="254"/>
      <c r="E64" t="s" s="202">
        <v>330</v>
      </c>
      <c r="F64" s="244"/>
      <c r="G64" s="245"/>
      <c r="H64" t="s" s="444">
        <v>190</v>
      </c>
      <c r="I64" t="s" s="444">
        <v>331</v>
      </c>
      <c r="J64" t="s" s="463">
        <v>192</v>
      </c>
      <c r="K64" s="464"/>
      <c r="L64" t="s" s="252">
        <v>193</v>
      </c>
      <c r="M64" t="s" s="465">
        <v>194</v>
      </c>
      <c r="N64" s="254"/>
      <c r="O64" t="s" s="466">
        <v>112</v>
      </c>
      <c r="P64" s="467"/>
      <c r="Q64" s="380"/>
      <c r="R64" s="219"/>
      <c r="S64" s="381"/>
      <c r="T64" t="s" s="468">
        <v>195</v>
      </c>
      <c r="U64" s="469"/>
      <c r="V64" s="469"/>
      <c r="W64" s="469"/>
      <c r="X64" s="469"/>
      <c r="Y64" s="469"/>
      <c r="Z64" s="469"/>
      <c r="AA64" s="469"/>
      <c r="AB64" s="469"/>
      <c r="AC64" s="469"/>
      <c r="AD64" s="470"/>
      <c r="AE64" t="s" s="444">
        <v>196</v>
      </c>
      <c r="AF64" t="s" s="468">
        <v>197</v>
      </c>
      <c r="AG64" s="469"/>
      <c r="AH64" s="469"/>
      <c r="AI64" s="469"/>
      <c r="AJ64" s="469"/>
      <c r="AK64" s="469"/>
      <c r="AL64" s="469"/>
      <c r="AM64" s="469"/>
      <c r="AN64" s="469"/>
      <c r="AO64" s="469"/>
      <c r="AP64" s="470"/>
      <c r="AQ64" t="s" s="444">
        <v>198</v>
      </c>
      <c r="AR64" t="s" s="468">
        <v>197</v>
      </c>
      <c r="AS64" s="469"/>
      <c r="AT64" s="469"/>
      <c r="AU64" s="469"/>
      <c r="AV64" s="470"/>
      <c r="AW64" s="818"/>
      <c r="AX64" s="378"/>
      <c r="AY64" s="378"/>
      <c r="AZ64" s="457"/>
      <c r="BA64" s="819"/>
      <c r="BB64" s="473">
        <f>COUNTIF(BB66:BB85,"?*")</f>
        <v>0</v>
      </c>
      <c r="BC64" s="473">
        <f>COUNTIF(BC66:BC85,"?*")</f>
        <v>0</v>
      </c>
      <c r="BD64" s="473">
        <f>COUNTIF(BD66:BD85,"?*")</f>
        <v>0</v>
      </c>
      <c r="BE64" s="473">
        <f>COUNTIF(BE66:BE85,"?*")</f>
        <v>0</v>
      </c>
      <c r="BF64" s="473">
        <f>COUNTIF(BF66:BF85,"?*")</f>
        <v>0</v>
      </c>
      <c r="BG64" s="473">
        <f>COUNTIF(BG66:BG85,"?*")</f>
        <v>0</v>
      </c>
      <c r="BH64" s="473">
        <f>COUNTIF(BH66:BH85,"?*")</f>
        <v>0</v>
      </c>
      <c r="BI64" s="473">
        <f>COUNTIF(BI66:BI85,"?*")</f>
        <v>0</v>
      </c>
      <c r="BJ64" s="473">
        <f>COUNTIF(BJ66:BJ85,"?*")</f>
        <v>0</v>
      </c>
      <c r="BK64" s="473">
        <f>COUNTIF(BK66:BK85,"?*")</f>
        <v>0</v>
      </c>
      <c r="BL64" s="473">
        <f>COUNTIF(BL66:BL85,"?*")</f>
        <v>0</v>
      </c>
      <c r="BM64" s="473">
        <f>COUNTIF(BM66:BM85,"?*")</f>
        <v>0</v>
      </c>
      <c r="BN64" s="473">
        <f>COUNTIF(BN66:BN85,"?*")</f>
        <v>0</v>
      </c>
      <c r="BO64" s="473">
        <f>COUNTIF(BO66:BO85,"?*")</f>
        <v>0</v>
      </c>
      <c r="BP64" s="473">
        <f>COUNTIF(BP66:BP85,"?*")</f>
        <v>0</v>
      </c>
      <c r="BQ64" s="473">
        <f>COUNTIF(BQ66:BQ85,"?*")</f>
        <v>0</v>
      </c>
      <c r="BR64" s="473">
        <f>COUNTIF(BR66:BR85,"?*")</f>
        <v>0</v>
      </c>
      <c r="BS64" s="473">
        <f>COUNTIF(BS66:BS85,"?*")</f>
        <v>0</v>
      </c>
      <c r="BT64" s="473">
        <f>COUNTIF(BT66:BT85,"?*")</f>
        <v>0</v>
      </c>
      <c r="BU64" s="473">
        <f>COUNTIF(BU66:BU85,"?*")</f>
        <v>0</v>
      </c>
      <c r="BV64" s="474"/>
      <c r="BW64" s="455"/>
      <c r="BX64" s="715"/>
    </row>
    <row r="65" ht="45.75" customHeight="1">
      <c r="A65" s="714"/>
      <c r="B65" s="475"/>
      <c r="C65" t="s" s="476">
        <v>200</v>
      </c>
      <c r="D65" t="s" s="266">
        <v>201</v>
      </c>
      <c r="E65" t="s" s="230">
        <v>202</v>
      </c>
      <c r="F65" t="s" s="383">
        <v>203</v>
      </c>
      <c r="G65" s="384"/>
      <c r="H65" s="487"/>
      <c r="I65" s="487"/>
      <c r="J65" s="716"/>
      <c r="K65" s="717"/>
      <c r="L65" s="480"/>
      <c r="M65" s="481"/>
      <c r="N65" s="482"/>
      <c r="O65" t="s" s="230">
        <v>127</v>
      </c>
      <c r="P65" t="s" s="266">
        <v>128</v>
      </c>
      <c r="Q65" s="380"/>
      <c r="R65" s="219"/>
      <c r="S65" s="381"/>
      <c r="T65" t="s" s="352">
        <v>204</v>
      </c>
      <c r="U65" t="s" s="483">
        <v>205</v>
      </c>
      <c r="V65" t="s" s="484">
        <v>206</v>
      </c>
      <c r="W65" t="s" s="352">
        <v>207</v>
      </c>
      <c r="X65" t="s" s="252">
        <v>208</v>
      </c>
      <c r="Y65" s="486"/>
      <c r="Z65" s="486"/>
      <c r="AA65" s="486"/>
      <c r="AB65" t="s" s="666">
        <v>209</v>
      </c>
      <c r="AC65" t="s" s="483">
        <v>210</v>
      </c>
      <c r="AD65" t="s" s="484">
        <v>211</v>
      </c>
      <c r="AE65" s="477"/>
      <c r="AF65" t="s" s="352">
        <v>204</v>
      </c>
      <c r="AG65" t="s" s="483">
        <v>129</v>
      </c>
      <c r="AH65" t="s" s="484">
        <v>130</v>
      </c>
      <c r="AI65" t="s" s="483">
        <v>131</v>
      </c>
      <c r="AJ65" t="s" s="820">
        <v>130</v>
      </c>
      <c r="AK65" s="821"/>
      <c r="AL65" s="821"/>
      <c r="AM65" s="821"/>
      <c r="AN65" t="s" s="820">
        <v>115</v>
      </c>
      <c r="AO65" t="s" s="485">
        <v>115</v>
      </c>
      <c r="AP65" t="s" s="484">
        <v>132</v>
      </c>
      <c r="AQ65" s="491"/>
      <c r="AR65" t="s" s="484">
        <v>212</v>
      </c>
      <c r="AS65" t="s" s="483">
        <v>213</v>
      </c>
      <c r="AT65" t="s" s="484">
        <v>214</v>
      </c>
      <c r="AU65" t="s" s="483">
        <v>215</v>
      </c>
      <c r="AV65" t="s" s="484">
        <v>216</v>
      </c>
      <c r="AW65" t="s" s="492">
        <v>217</v>
      </c>
      <c r="AX65" t="s" s="493">
        <v>218</v>
      </c>
      <c r="AY65" t="s" s="822">
        <v>332</v>
      </c>
      <c r="AZ65" s="472"/>
      <c r="BA65" t="s" s="218">
        <v>220</v>
      </c>
      <c r="BB65" s="495">
        <v>1</v>
      </c>
      <c r="BC65" s="495">
        <v>2</v>
      </c>
      <c r="BD65" s="495">
        <v>3</v>
      </c>
      <c r="BE65" s="495">
        <v>4</v>
      </c>
      <c r="BF65" s="495">
        <v>5</v>
      </c>
      <c r="BG65" s="495">
        <v>6</v>
      </c>
      <c r="BH65" s="495">
        <v>7</v>
      </c>
      <c r="BI65" s="495">
        <v>8</v>
      </c>
      <c r="BJ65" s="495">
        <v>9</v>
      </c>
      <c r="BK65" s="495">
        <v>10</v>
      </c>
      <c r="BL65" s="495">
        <v>11</v>
      </c>
      <c r="BM65" s="495">
        <v>12</v>
      </c>
      <c r="BN65" s="495">
        <v>13</v>
      </c>
      <c r="BO65" s="495">
        <v>14</v>
      </c>
      <c r="BP65" s="495">
        <v>15</v>
      </c>
      <c r="BQ65" s="495">
        <v>16</v>
      </c>
      <c r="BR65" s="495">
        <v>17</v>
      </c>
      <c r="BS65" s="495">
        <v>18</v>
      </c>
      <c r="BT65" s="495">
        <v>19</v>
      </c>
      <c r="BU65" s="495">
        <v>20</v>
      </c>
      <c r="BV65" t="s" s="496">
        <v>221</v>
      </c>
      <c r="BW65" t="s" s="496">
        <v>222</v>
      </c>
      <c r="BX65" t="s" s="496">
        <v>223</v>
      </c>
    </row>
    <row r="66" ht="15.6" customHeight="1">
      <c r="A66" s="379"/>
      <c r="B66" s="272">
        <v>1</v>
      </c>
      <c r="C66" t="s" s="497">
        <f>IF(D66="","",C11)</f>
      </c>
      <c r="D66" t="s" s="498">
        <f>IF(OR(K11="",K11=0),"",D11)</f>
      </c>
      <c r="E66" t="s" s="499">
        <f>IF(AX66="","",AX66)</f>
      </c>
      <c r="F66" s="500"/>
      <c r="G66" s="275"/>
      <c r="H66" s="718"/>
      <c r="I66" t="s" s="720">
        <f>IF(OR(K11="",K11=0),"",K11)</f>
      </c>
      <c r="J66" t="s" s="823">
        <f>IF(F66="","",VLOOKUP(F66,'10. Condition and Temporal'!$B$6:$F$103,5,FALSE))</f>
      </c>
      <c r="K66" s="721"/>
      <c r="L66" t="s" s="505">
        <f>_xlfn.IFERROR(IF(D66="","",IF(AX66="Distinctiveness",(((((I66*AH66*AJ66*AY66)-(I66*V66*X66))*(AV66*AT66))+(I66*V66*X66))*AP66)/1000,((((I66*AH66*AJ66*AY66)-(I66*V66*X66*AJ11))*(AV66*AR66))+(I66*V66*X66*AJ11))*AP66/1000)),"This intervention is not permitted within the SSM ▲")</f>
      </c>
      <c r="M66" t="s" s="506">
        <f>_xlfn.IFERROR(IF(F66="","",L66-AD66),"Error ▲")</f>
      </c>
      <c r="N66" s="398"/>
      <c r="O66" s="399"/>
      <c r="P66" s="275"/>
      <c r="Q66" s="380"/>
      <c r="R66" s="219"/>
      <c r="S66" s="381"/>
      <c r="T66" t="s" s="507">
        <f>IF(D66="","",K11)</f>
      </c>
      <c r="U66" t="s" s="508">
        <f>IF($D66="","",T11)</f>
      </c>
      <c r="V66" t="s" s="509">
        <f>IF($D66="","",V11)</f>
      </c>
      <c r="W66" t="s" s="507">
        <f>IF($D66="","",W11)</f>
      </c>
      <c r="X66" t="s" s="285">
        <f>IF($D66="","",X11)</f>
      </c>
      <c r="Y66" s="511"/>
      <c r="Z66" s="511"/>
      <c r="AA66" s="511"/>
      <c r="AB66" t="s" s="313">
        <f>IF($D66="","",AB11)</f>
      </c>
      <c r="AC66" t="s" s="508">
        <f>IF($D66="","",AD11)</f>
      </c>
      <c r="AD66" t="s" s="509">
        <f>IF(AC66="","",((T66*V66*X66)*AC66*AJ11)/1000)</f>
      </c>
      <c r="AE66" t="s" s="295">
        <f>IF(AD66="","",IF(AH66&lt;V66,"Not Acceptable","Acceptable"))</f>
      </c>
      <c r="AF66" t="s" s="507">
        <f>IF(D66="","",I66)</f>
      </c>
      <c r="AG66" t="s" s="508">
        <f>IF(D66="","",VLOOKUP(F66,'9. All Habitats + Multipliers'!$C$4:$K$102,5,FALSE))</f>
      </c>
      <c r="AH66" t="s" s="509">
        <f>IF(AG66="","",VLOOKUP(AG66,'11. Lists'!$B$47:$D$49,2,FALSE))</f>
      </c>
      <c r="AI66" t="s" s="508">
        <f>IF(D66="","",J66)</f>
      </c>
      <c r="AJ66" t="s" s="291">
        <f>IF(AI66="","",VLOOKUP(AI66,'11. Lists'!$F$47:$G$51,2,FALSE))</f>
      </c>
      <c r="AK66" s="511"/>
      <c r="AL66" s="511"/>
      <c r="AM66" s="511"/>
      <c r="AN66" t="s" s="291">
        <f>IF(H66="","",H66)</f>
      </c>
      <c r="AO66" t="s" s="516">
        <f>IF(AN66="","",VLOOKUP(AN66,'11. Lists'!$F$36:$H$38,2,FALSE))</f>
      </c>
      <c r="AP66" t="s" s="509">
        <f>IF(AN66="","",VLOOKUP(AN66,'11. Lists'!$F$36:$H$38,3,FALSE))</f>
      </c>
      <c r="AQ66" t="s" s="508">
        <f>IF(D66="","",IF(AX66="Distinctiveness","N/A",VLOOKUP(F66,'10. Condition and Temporal'!$B$6:$L$103,11,FALSE)))</f>
      </c>
      <c r="AR66" t="s" s="509">
        <f>IF(AQ66="","",IF(AQ66="N/A","1",VLOOKUP(AQ66,'11. Lists'!$I$47:$K$80,3,FALSE)))</f>
      </c>
      <c r="AS66" t="s" s="508">
        <f>IF(D66="","",IF(AX66="Condition","N/A",VLOOKUP(F66,'10. Condition and Temporal'!$B$6:$M$106,12,FALSE)))</f>
      </c>
      <c r="AT66" t="s" s="509">
        <f>IF(AS66="","",IF(AS66="N/A","1",VLOOKUP(AS66,'11. Lists'!$I$47:$K$80,3,FALSE)))</f>
      </c>
      <c r="AU66" t="s" s="508">
        <f>IF(D66="","",VLOOKUP(F66,'9. All Habitats + Multipliers'!$C$4:$K$102,8,FALSE))</f>
      </c>
      <c r="AV66" t="s" s="509">
        <f>IF(AU66="","",VLOOKUP(AU66,'11. Lists'!$J$35:$K$38,2,FALSE))</f>
      </c>
      <c r="AW66" t="s" s="508">
        <f>IF(D66="","",VLOOKUP(D66,'10. Condition and Temporal'!$B$6:$M$103,4,FALSE))</f>
      </c>
      <c r="AX66" t="s" s="509">
        <f>IF(F66="","",IF(D66=F66,"Condition","Distinctiveness"))</f>
      </c>
      <c r="AY66" t="s" s="813">
        <v>327</v>
      </c>
      <c r="AZ66" t="s" s="824">
        <v>327</v>
      </c>
      <c r="BA66" s="401">
        <v>1</v>
      </c>
      <c r="BB66" t="s" s="291">
        <f>TRIM(MID(SUBSTITUTE($AW$66,$BA$62,REPT(" ",LEN($AW$66))),($BA66-1)*LEN($AW$66)+1,LEN($AW$66)))</f>
      </c>
      <c r="BC66" t="s" s="291">
        <f>TRIM(MID(SUBSTITUTE($AW$67,$BA$62,REPT(" ",LEN($AW$67))),($BA66-1)*LEN($AW$67)+1,LEN($AW$67)))</f>
      </c>
      <c r="BD66" t="s" s="291">
        <f>TRIM(MID(SUBSTITUTE($AW$68,$BA$62,REPT(" ",LEN($AW$68))),($BA66-1)*LEN($AW$68)+1,LEN($AW$68)))</f>
      </c>
      <c r="BE66" t="s" s="291">
        <f>TRIM(MID(SUBSTITUTE($AW$69,$BA$62,REPT(" ",LEN($AW$69))),($BA66-1)*LEN($AW$69)+1,LEN($AW$69)))</f>
      </c>
      <c r="BF66" t="s" s="291">
        <f>TRIM(MID(SUBSTITUTE($AW$70,$BA$62,REPT(" ",LEN($AW$70))),($BA66-1)*LEN($AW$70)+1,LEN($AW$70)))</f>
      </c>
      <c r="BG66" t="s" s="291">
        <f>TRIM(MID(SUBSTITUTE($AW$71,$BA$62,REPT(" ",LEN($AW$71))),($BA66-1)*LEN($AW$71)+1,LEN($AW$71)))</f>
      </c>
      <c r="BH66" t="s" s="291">
        <f>TRIM(MID(SUBSTITUTE($AW$72,$BA$62,REPT(" ",LEN($AW$72))),($BA66-1)*LEN($AW$72)+1,LEN($AW$72)))</f>
      </c>
      <c r="BI66" t="s" s="291">
        <f>TRIM(MID(SUBSTITUTE($AW$73,$BA$62,REPT(" ",LEN($AW$73))),($BA66-1)*LEN($AW$73)+1,LEN($AW$73)))</f>
      </c>
      <c r="BJ66" t="s" s="291">
        <f>TRIM(MID(SUBSTITUTE($AW$74,$BA$62,REPT(" ",LEN($AW$74))),($BA66-1)*LEN($AW$74)+1,LEN($AW$74)))</f>
      </c>
      <c r="BK66" t="s" s="291">
        <f>TRIM(MID(SUBSTITUTE($AW$75,$BA$62,REPT(" ",LEN($AW$75))),($BA66-1)*LEN($AW$75)+1,LEN($AW$75)))</f>
      </c>
      <c r="BL66" t="s" s="291">
        <f>TRIM(MID(SUBSTITUTE($AW$76,$BA$62,REPT(" ",LEN($AW$76))),($BA66-1)*LEN($AW$76)+1,LEN($AW$76)))</f>
      </c>
      <c r="BM66" t="s" s="291">
        <f>TRIM(MID(SUBSTITUTE($AW$77,$BA$62,REPT(" ",LEN($AW$77))),($BA66-1)*LEN($AW$77)+1,LEN($AW$77)))</f>
      </c>
      <c r="BN66" t="s" s="291">
        <f>TRIM(MID(SUBSTITUTE($AW$78,$BA$62,REPT(" ",LEN($AW$78))),($BA66-1)*LEN($AW$78)+1,LEN($AW$78)))</f>
      </c>
      <c r="BO66" t="s" s="291">
        <f>TRIM(MID(SUBSTITUTE($AW$79,$BA$62,REPT(" ",LEN($AW$79))),($BA66-1)*LEN($AW$79)+1,LEN($AW$79)))</f>
      </c>
      <c r="BP66" t="s" s="291">
        <f>TRIM(MID(SUBSTITUTE($AW$80,$BA$62,REPT(" ",LEN($AW$80))),($BA66-1)*LEN($AW$80)+1,LEN($AW$80)))</f>
      </c>
      <c r="BQ66" t="s" s="291">
        <f>TRIM(MID(SUBSTITUTE($AW$81,$BA$62,REPT(" ",LEN($AW$81))),($BA66-1)*LEN($AW$81)+1,LEN($AW$81)))</f>
      </c>
      <c r="BR66" t="s" s="291">
        <f>TRIM(MID(SUBSTITUTE($AW$82,$BA$62,REPT(" ",LEN($AW$82))),($BA66-1)*LEN($AW$82)+1,LEN($AW$82)))</f>
      </c>
      <c r="BS66" t="s" s="291">
        <f>TRIM(MID(SUBSTITUTE($AW$83,$BA$62,REPT(" ",LEN($AW$83))),($BA66-1)*LEN($AW$83)+1,LEN($AW$83)))</f>
      </c>
      <c r="BT66" t="s" s="291">
        <f>TRIM(MID(SUBSTITUTE($AW$84,$BA$62,REPT(" ",LEN($AW$84))),($BA66-1)*LEN($AW$84)+1,LEN($AW$84)))</f>
      </c>
      <c r="BU66" t="s" s="313">
        <f>TRIM(MID(SUBSTITUTE($AW$85,$BA$62,REPT(" ",LEN($AW$85))),($BA66-1)*LEN($AW$85)+1,LEN($AW$85)))</f>
      </c>
      <c r="BV66" t="s" s="285">
        <f>IF(BX66=0,"",CONCATENATE(BW66,"66:",BW66,BX66+65))</f>
      </c>
      <c r="BW66" t="s" s="291">
        <v>224</v>
      </c>
      <c r="BX66" s="518">
        <f>BB64</f>
        <v>0</v>
      </c>
    </row>
    <row r="67" ht="15.6" customHeight="1">
      <c r="A67" s="379"/>
      <c r="B67" s="296">
        <v>2</v>
      </c>
      <c r="C67" t="s" s="519">
        <f>IF(D67="","",C12)</f>
      </c>
      <c r="D67" t="s" s="520">
        <f>IF(OR(K12="",K12=0),"",D12)</f>
      </c>
      <c r="E67" t="s" s="521">
        <f>IF(AX67="","",AX67)</f>
      </c>
      <c r="F67" s="314"/>
      <c r="G67" s="315"/>
      <c r="H67" s="501"/>
      <c r="I67" t="s" s="503">
        <f>IF(OR(K12="",K12=0),"",K12)</f>
      </c>
      <c r="J67" t="s" s="825">
        <f>IF(F67="","",VLOOKUP(F67,'10. Condition and Temporal'!$B$6:$F$103,5,FALSE))</f>
      </c>
      <c r="K67" s="504"/>
      <c r="L67" t="s" s="418">
        <f>_xlfn.IFERROR(IF(D67="","",IF(AX67="Distinctiveness",(((((I67*AH67*AJ67*AY67)-(I67*V67*X67))*(AV67*AT67))+(I67*V67*X67))*AP67)/1000,((((I67*AH67*AJ67*AY67)-(I67*V67*X67*AJ12))*(AV67*AR67))+(I67*V67*X67*AJ12))*AP67/1000)),"This intervention is not permitted within the SSM ▲")</f>
      </c>
      <c r="M67" t="s" s="311">
        <f>_xlfn.IFERROR(IF(F67="","",L67-AD67),"Error ▲")</f>
      </c>
      <c r="N67" s="414"/>
      <c r="O67" s="415"/>
      <c r="P67" s="315"/>
      <c r="Q67" s="380"/>
      <c r="R67" s="219"/>
      <c r="S67" s="381"/>
      <c r="T67" t="s" s="295">
        <f>IF(D67="","",K12)</f>
      </c>
      <c r="U67" t="s" s="285">
        <f>IF($D67="","",T12)</f>
      </c>
      <c r="V67" t="s" s="313">
        <f>IF($D67="","",V12)</f>
      </c>
      <c r="W67" t="s" s="295">
        <f>IF($D67="","",W12)</f>
      </c>
      <c r="X67" t="s" s="285">
        <f>IF($D67="","",X12)</f>
      </c>
      <c r="Y67" s="511"/>
      <c r="Z67" s="511"/>
      <c r="AA67" s="511"/>
      <c r="AB67" t="s" s="313">
        <f>IF($D67="","",AB12)</f>
      </c>
      <c r="AC67" t="s" s="285">
        <f>IF($D67="","",AD12)</f>
      </c>
      <c r="AD67" t="s" s="313">
        <f>IF(AC67="","",((T67*V67*X67)*AC67*AJ12)/1000)</f>
      </c>
      <c r="AE67" t="s" s="295">
        <f>IF(AD67="","",IF(AH67&lt;V67,"Not Acceptable","Acceptable"))</f>
      </c>
      <c r="AF67" t="s" s="295">
        <f>IF(D67="","",I67)</f>
      </c>
      <c r="AG67" t="s" s="285">
        <f>IF(D67="","",VLOOKUP(F67,'9. All Habitats + Multipliers'!$C$4:$K$102,5,FALSE))</f>
      </c>
      <c r="AH67" t="s" s="313">
        <f>IF(AG67="","",VLOOKUP(AG67,'11. Lists'!$B$47:$D$49,2,FALSE))</f>
      </c>
      <c r="AI67" t="s" s="285">
        <f>IF(D67="","",J67)</f>
      </c>
      <c r="AJ67" t="s" s="291">
        <f>IF(AI67="","",VLOOKUP(AI67,'11. Lists'!$F$47:$G$51,2,FALSE))</f>
      </c>
      <c r="AK67" s="511"/>
      <c r="AL67" s="511"/>
      <c r="AM67" s="511"/>
      <c r="AN67" t="s" s="291">
        <f>IF(H67="","",H67)</f>
      </c>
      <c r="AO67" t="s" s="291">
        <f>IF(AN67="","",VLOOKUP(AN67,'11. Lists'!$F$36:$H$38,2,FALSE))</f>
      </c>
      <c r="AP67" t="s" s="313">
        <f>IF(AN67="","",VLOOKUP(AN67,'11. Lists'!$F$36:$H$38,3,FALSE))</f>
      </c>
      <c r="AQ67" t="s" s="285">
        <f>IF(D67="","",IF(AX67="Distinctiveness","N/A",VLOOKUP(F67,'10. Condition and Temporal'!$B$6:$L$103,11,FALSE)))</f>
      </c>
      <c r="AR67" t="s" s="313">
        <f>IF(AQ67="","",IF(AQ67="N/A","1",VLOOKUP(AQ67,'11. Lists'!$I$47:$K$80,3,FALSE)))</f>
      </c>
      <c r="AS67" t="s" s="285">
        <f>IF(D67="","",IF(AX67="Condition","N/A",VLOOKUP(F67,'10. Condition and Temporal'!$B$6:$M$106,12,FALSE)))</f>
      </c>
      <c r="AT67" t="s" s="313">
        <f>IF(AS67="","",IF(AS67="N/A","1",VLOOKUP(AS67,'11. Lists'!$I$47:$K$80,3,FALSE)))</f>
      </c>
      <c r="AU67" t="s" s="285">
        <f>IF(D67="","",VLOOKUP(F67,'9. All Habitats + Multipliers'!$C$4:$K$102,8,FALSE))</f>
      </c>
      <c r="AV67" t="s" s="313">
        <f>IF(AU67="","",VLOOKUP(AU67,'11. Lists'!$J$35:$K$38,2,FALSE))</f>
      </c>
      <c r="AW67" t="s" s="285">
        <f>IF(D67="","",VLOOKUP(D67,'10. Condition and Temporal'!$B$6:$M$103,4,FALSE))</f>
      </c>
      <c r="AX67" t="s" s="313">
        <f>IF(F67="","",IF(D67=F67,"Condition","Distinctiveness"))</f>
      </c>
      <c r="AY67" t="s" s="813">
        <v>327</v>
      </c>
      <c r="AZ67" t="s" s="824">
        <v>327</v>
      </c>
      <c r="BA67" s="401">
        <v>2</v>
      </c>
      <c r="BB67" t="s" s="291">
        <f>TRIM(MID(SUBSTITUTE($AW$66,$BA$62,REPT(" ",LEN($AW$66))),($BA67-1)*LEN($AW$66)+1,LEN($AW$66)))</f>
      </c>
      <c r="BC67" t="s" s="291">
        <f>TRIM(MID(SUBSTITUTE($AW$67,$BA$62,REPT(" ",LEN($AW$67))),($BA67-1)*LEN($AW$67)+1,LEN($AW$67)))</f>
      </c>
      <c r="BD67" t="s" s="291">
        <f>TRIM(MID(SUBSTITUTE($AW$68,$BA$62,REPT(" ",LEN($AW$68))),($BA67-1)*LEN($AW$68)+1,LEN($AW$68)))</f>
      </c>
      <c r="BE67" t="s" s="291">
        <f>TRIM(MID(SUBSTITUTE($AW$69,$BA$62,REPT(" ",LEN($AW$69))),($BA67-1)*LEN($AW$69)+1,LEN($AW$69)))</f>
      </c>
      <c r="BF67" t="s" s="291">
        <f>TRIM(MID(SUBSTITUTE($AW$70,$BA$62,REPT(" ",LEN($AW$70))),($BA67-1)*LEN($AW$70)+1,LEN($AW$70)))</f>
      </c>
      <c r="BG67" t="s" s="291">
        <f>TRIM(MID(SUBSTITUTE($AW$71,$BA$62,REPT(" ",LEN($AW$71))),($BA67-1)*LEN($AW$71)+1,LEN($AW$71)))</f>
      </c>
      <c r="BH67" t="s" s="291">
        <f>TRIM(MID(SUBSTITUTE($AW$72,$BA$62,REPT(" ",LEN($AW$72))),($BA67-1)*LEN($AW$72)+1,LEN($AW$72)))</f>
      </c>
      <c r="BI67" t="s" s="291">
        <f>TRIM(MID(SUBSTITUTE($AW$73,$BA$62,REPT(" ",LEN($AW$73))),($BA67-1)*LEN($AW$73)+1,LEN($AW$73)))</f>
      </c>
      <c r="BJ67" t="s" s="291">
        <f>TRIM(MID(SUBSTITUTE($AW$74,$BA$62,REPT(" ",LEN($AW$74))),($BA67-1)*LEN($AW$74)+1,LEN($AW$74)))</f>
      </c>
      <c r="BK67" t="s" s="291">
        <f>TRIM(MID(SUBSTITUTE($AW$75,$BA$62,REPT(" ",LEN($AW$75))),($BA67-1)*LEN($AW$75)+1,LEN($AW$75)))</f>
      </c>
      <c r="BL67" t="s" s="291">
        <f>TRIM(MID(SUBSTITUTE($AW$76,$BA$62,REPT(" ",LEN($AW$76))),($BA67-1)*LEN($AW$76)+1,LEN($AW$76)))</f>
      </c>
      <c r="BM67" t="s" s="291">
        <f>TRIM(MID(SUBSTITUTE($AW$77,$BA$62,REPT(" ",LEN($AW$77))),($BA67-1)*LEN($AW$77)+1,LEN($AW$77)))</f>
      </c>
      <c r="BN67" t="s" s="291">
        <f>TRIM(MID(SUBSTITUTE($AW$78,$BA$62,REPT(" ",LEN($AW$78))),($BA67-1)*LEN($AW$78)+1,LEN($AW$78)))</f>
      </c>
      <c r="BO67" t="s" s="291">
        <f>TRIM(MID(SUBSTITUTE($AW$79,$BA$62,REPT(" ",LEN($AW$79))),($BA67-1)*LEN($AW$79)+1,LEN($AW$79)))</f>
      </c>
      <c r="BP67" t="s" s="291">
        <f>TRIM(MID(SUBSTITUTE($AW$80,$BA$62,REPT(" ",LEN($AW$80))),($BA67-1)*LEN($AW$80)+1,LEN($AW$80)))</f>
      </c>
      <c r="BQ67" t="s" s="291">
        <f>TRIM(MID(SUBSTITUTE($AW$81,$BA$62,REPT(" ",LEN($AW$81))),($BA67-1)*LEN($AW$81)+1,LEN($AW$81)))</f>
      </c>
      <c r="BR67" t="s" s="291">
        <f>TRIM(MID(SUBSTITUTE($AW$82,$BA$62,REPT(" ",LEN($AW$82))),($BA67-1)*LEN($AW$82)+1,LEN($AW$82)))</f>
      </c>
      <c r="BS67" t="s" s="291">
        <f>TRIM(MID(SUBSTITUTE($AW$83,$BA$62,REPT(" ",LEN($AW$83))),($BA67-1)*LEN($AW$83)+1,LEN($AW$83)))</f>
      </c>
      <c r="BT67" t="s" s="291">
        <f>TRIM(MID(SUBSTITUTE($AW$84,$BA$62,REPT(" ",LEN($AW$84))),($BA67-1)*LEN($AW$84)+1,LEN($AW$84)))</f>
      </c>
      <c r="BU67" t="s" s="313">
        <f>TRIM(MID(SUBSTITUTE($AW$85,$BA$62,REPT(" ",LEN($AW$85))),($BA67-1)*LEN($AW$85)+1,LEN($AW$85)))</f>
      </c>
      <c r="BV67" t="s" s="285">
        <f>IF(BX67=0,"",CONCATENATE(BW67,"66:",BW67,BX67+65))</f>
      </c>
      <c r="BW67" t="s" s="291">
        <v>225</v>
      </c>
      <c r="BX67" s="518">
        <f>BC64</f>
        <v>0</v>
      </c>
    </row>
    <row r="68" ht="15.6" customHeight="1">
      <c r="A68" s="379"/>
      <c r="B68" s="296">
        <v>3</v>
      </c>
      <c r="C68" t="s" s="519">
        <f>IF(D68="","",C13)</f>
      </c>
      <c r="D68" t="s" s="520">
        <f>IF(OR(K13="",K13=0),"",D13)</f>
      </c>
      <c r="E68" t="s" s="521">
        <f>IF(AX68="","",AX68)</f>
      </c>
      <c r="F68" s="314"/>
      <c r="G68" s="315"/>
      <c r="H68" s="501"/>
      <c r="I68" t="s" s="503">
        <f>IF(OR(K13="",K13=0),"",K13)</f>
      </c>
      <c r="J68" t="s" s="825">
        <f>IF(F68="","",VLOOKUP(F68,'10. Condition and Temporal'!$B$6:$F$103,5,FALSE))</f>
      </c>
      <c r="K68" s="504"/>
      <c r="L68" t="s" s="418">
        <f>_xlfn.IFERROR(IF(D68="","",IF(AX68="Distinctiveness",(((((I68*AH68*AJ68*AY68)-(I68*V68*X68))*(AV68*AT68))+(I68*V68*X68))*AP68)/1000,((((I68*AH68*AJ68*AY68)-(I68*V68*X68*AJ13))*(AV68*AR68))+(I68*V68*X68*AJ13))*AP68/1000)),"This intervention is not permitted within the SSM ▲")</f>
      </c>
      <c r="M68" t="s" s="311">
        <f>_xlfn.IFERROR(IF(F68="","",L68-AD68),"Error ▲")</f>
      </c>
      <c r="N68" s="414"/>
      <c r="O68" s="415"/>
      <c r="P68" s="315"/>
      <c r="Q68" s="380"/>
      <c r="R68" s="219"/>
      <c r="S68" s="381"/>
      <c r="T68" t="s" s="295">
        <f>IF(D68="","",K13)</f>
      </c>
      <c r="U68" t="s" s="285">
        <f>IF($D68="","",T13)</f>
      </c>
      <c r="V68" t="s" s="313">
        <f>IF($D68="","",V13)</f>
      </c>
      <c r="W68" t="s" s="295">
        <f>IF($D68="","",W13)</f>
      </c>
      <c r="X68" t="s" s="285">
        <f>IF($D68="","",X13)</f>
      </c>
      <c r="Y68" s="511"/>
      <c r="Z68" s="511"/>
      <c r="AA68" s="511"/>
      <c r="AB68" t="s" s="313">
        <f>IF($D68="","",AB13)</f>
      </c>
      <c r="AC68" t="s" s="285">
        <f>IF($D68="","",AD13)</f>
      </c>
      <c r="AD68" t="s" s="313">
        <f>IF(AC68="","",((T68*V68*X68)*AC68*AJ13)/1000)</f>
      </c>
      <c r="AE68" t="s" s="295">
        <f>IF(AD68="","",IF(AH68&lt;V68,"Not Acceptable","Acceptable"))</f>
      </c>
      <c r="AF68" t="s" s="295">
        <f>IF(D68="","",I68)</f>
      </c>
      <c r="AG68" t="s" s="285">
        <f>IF(D68="","",VLOOKUP(F68,'9. All Habitats + Multipliers'!$C$4:$K$102,5,FALSE))</f>
      </c>
      <c r="AH68" t="s" s="313">
        <f>IF(AG68="","",VLOOKUP(AG68,'11. Lists'!$B$47:$D$49,2,FALSE))</f>
      </c>
      <c r="AI68" t="s" s="285">
        <f>IF(D68="","",J68)</f>
      </c>
      <c r="AJ68" t="s" s="291">
        <f>IF(AI68="","",VLOOKUP(AI68,'11. Lists'!$F$47:$G$51,2,FALSE))</f>
      </c>
      <c r="AK68" s="511"/>
      <c r="AL68" s="511"/>
      <c r="AM68" s="511"/>
      <c r="AN68" t="s" s="291">
        <f>IF(H68="","",H68)</f>
      </c>
      <c r="AO68" t="s" s="291">
        <f>IF(AN68="","",VLOOKUP(AN68,'11. Lists'!$F$36:$H$38,2,FALSE))</f>
      </c>
      <c r="AP68" t="s" s="313">
        <f>IF(AN68="","",VLOOKUP(AN68,'11. Lists'!$F$36:$H$38,3,FALSE))</f>
      </c>
      <c r="AQ68" t="s" s="285">
        <f>IF(D68="","",IF(AX68="Distinctiveness","N/A",VLOOKUP(F68,'10. Condition and Temporal'!$B$6:$L$103,11,FALSE)))</f>
      </c>
      <c r="AR68" t="s" s="313">
        <f>IF(AQ68="","",IF(AQ68="N/A","1",VLOOKUP(AQ68,'11. Lists'!$I$47:$K$80,3,FALSE)))</f>
      </c>
      <c r="AS68" t="s" s="285">
        <f>IF(D68="","",IF(AX68="Condition","N/A",VLOOKUP(F68,'10. Condition and Temporal'!$B$6:$M$106,12,FALSE)))</f>
      </c>
      <c r="AT68" t="s" s="313">
        <f>IF(AS68="","",IF(AS68="N/A","1",VLOOKUP(AS68,'11. Lists'!$I$47:$K$80,3,FALSE)))</f>
      </c>
      <c r="AU68" t="s" s="285">
        <f>IF(D68="","",VLOOKUP(F68,'9. All Habitats + Multipliers'!$C$4:$K$102,8,FALSE))</f>
      </c>
      <c r="AV68" t="s" s="313">
        <f>IF(AU68="","",VLOOKUP(AU68,'11. Lists'!$J$35:$K$38,2,FALSE))</f>
      </c>
      <c r="AW68" t="s" s="285">
        <f>IF(D68="","",VLOOKUP(D68,'10. Condition and Temporal'!$B$6:$M$103,4,FALSE))</f>
      </c>
      <c r="AX68" t="s" s="313">
        <f>IF(F68="","",IF(D68=F68,"Condition","Distinctiveness"))</f>
      </c>
      <c r="AY68" t="s" s="813">
        <v>327</v>
      </c>
      <c r="AZ68" t="s" s="824">
        <v>327</v>
      </c>
      <c r="BA68" s="401">
        <v>3</v>
      </c>
      <c r="BB68" t="s" s="291">
        <f>TRIM(MID(SUBSTITUTE($AW$66,$BA$62,REPT(" ",LEN($AW$66))),($BA68-1)*LEN($AW$66)+1,LEN($AW$66)))</f>
      </c>
      <c r="BC68" t="s" s="291">
        <f>TRIM(MID(SUBSTITUTE($AW$67,$BA$62,REPT(" ",LEN($AW$67))),($BA68-1)*LEN($AW$67)+1,LEN($AW$67)))</f>
      </c>
      <c r="BD68" t="s" s="291">
        <f>TRIM(MID(SUBSTITUTE($AW$68,$BA$62,REPT(" ",LEN($AW$68))),($BA68-1)*LEN($AW$68)+1,LEN($AW$68)))</f>
      </c>
      <c r="BE68" t="s" s="291">
        <f>TRIM(MID(SUBSTITUTE($AW$69,$BA$62,REPT(" ",LEN($AW$69))),($BA68-1)*LEN($AW$69)+1,LEN($AW$69)))</f>
      </c>
      <c r="BF68" t="s" s="291">
        <f>TRIM(MID(SUBSTITUTE($AW$70,$BA$62,REPT(" ",LEN($AW$70))),($BA68-1)*LEN($AW$70)+1,LEN($AW$70)))</f>
      </c>
      <c r="BG68" t="s" s="291">
        <f>TRIM(MID(SUBSTITUTE($AW$71,$BA$62,REPT(" ",LEN($AW$71))),($BA68-1)*LEN($AW$71)+1,LEN($AW$71)))</f>
      </c>
      <c r="BH68" t="s" s="291">
        <f>TRIM(MID(SUBSTITUTE($AW$72,$BA$62,REPT(" ",LEN($AW$72))),($BA68-1)*LEN($AW$72)+1,LEN($AW$72)))</f>
      </c>
      <c r="BI68" t="s" s="291">
        <f>TRIM(MID(SUBSTITUTE($AW$73,$BA$62,REPT(" ",LEN($AW$73))),($BA68-1)*LEN($AW$73)+1,LEN($AW$73)))</f>
      </c>
      <c r="BJ68" t="s" s="291">
        <f>TRIM(MID(SUBSTITUTE($AW$74,$BA$62,REPT(" ",LEN($AW$74))),($BA68-1)*LEN($AW$74)+1,LEN($AW$74)))</f>
      </c>
      <c r="BK68" t="s" s="291">
        <f>TRIM(MID(SUBSTITUTE($AW$75,$BA$62,REPT(" ",LEN($AW$75))),($BA68-1)*LEN($AW$75)+1,LEN($AW$75)))</f>
      </c>
      <c r="BL68" t="s" s="291">
        <f>TRIM(MID(SUBSTITUTE($AW$76,$BA$62,REPT(" ",LEN($AW$76))),($BA68-1)*LEN($AW$76)+1,LEN($AW$76)))</f>
      </c>
      <c r="BM68" t="s" s="291">
        <f>TRIM(MID(SUBSTITUTE($AW$77,$BA$62,REPT(" ",LEN($AW$77))),($BA68-1)*LEN($AW$77)+1,LEN($AW$77)))</f>
      </c>
      <c r="BN68" t="s" s="291">
        <f>TRIM(MID(SUBSTITUTE($AW$78,$BA$62,REPT(" ",LEN($AW$78))),($BA68-1)*LEN($AW$78)+1,LEN($AW$78)))</f>
      </c>
      <c r="BO68" t="s" s="291">
        <f>TRIM(MID(SUBSTITUTE($AW$79,$BA$62,REPT(" ",LEN($AW$79))),($BA68-1)*LEN($AW$79)+1,LEN($AW$79)))</f>
      </c>
      <c r="BP68" t="s" s="291">
        <f>TRIM(MID(SUBSTITUTE($AW$80,$BA$62,REPT(" ",LEN($AW$80))),($BA68-1)*LEN($AW$80)+1,LEN($AW$80)))</f>
      </c>
      <c r="BQ68" t="s" s="291">
        <f>TRIM(MID(SUBSTITUTE($AW$81,$BA$62,REPT(" ",LEN($AW$81))),($BA68-1)*LEN($AW$81)+1,LEN($AW$81)))</f>
      </c>
      <c r="BR68" t="s" s="291">
        <f>TRIM(MID(SUBSTITUTE($AW$82,$BA$62,REPT(" ",LEN($AW$82))),($BA68-1)*LEN($AW$82)+1,LEN($AW$82)))</f>
      </c>
      <c r="BS68" t="s" s="291">
        <f>TRIM(MID(SUBSTITUTE($AW$83,$BA$62,REPT(" ",LEN($AW$83))),($BA68-1)*LEN($AW$83)+1,LEN($AW$83)))</f>
      </c>
      <c r="BT68" t="s" s="291">
        <f>TRIM(MID(SUBSTITUTE($AW$84,$BA$62,REPT(" ",LEN($AW$84))),($BA68-1)*LEN($AW$84)+1,LEN($AW$84)))</f>
      </c>
      <c r="BU68" t="s" s="313">
        <f>TRIM(MID(SUBSTITUTE($AW$85,$BA$62,REPT(" ",LEN($AW$85))),($BA68-1)*LEN($AW$85)+1,LEN($AW$85)))</f>
      </c>
      <c r="BV68" t="s" s="285">
        <f>IF(BX68=0,"",CONCATENATE(BW68,"66:",BW68,BX68+65))</f>
      </c>
      <c r="BW68" t="s" s="291">
        <v>226</v>
      </c>
      <c r="BX68" s="518">
        <f>BD64</f>
        <v>0</v>
      </c>
    </row>
    <row r="69" ht="15.6" customHeight="1">
      <c r="A69" s="379"/>
      <c r="B69" s="296">
        <v>4</v>
      </c>
      <c r="C69" t="s" s="519">
        <f>IF(D69="","",C14)</f>
      </c>
      <c r="D69" t="s" s="520">
        <f>IF(OR(K14="",K14=0),"",D14)</f>
      </c>
      <c r="E69" t="s" s="521">
        <f>IF(AX69="","",AX69)</f>
      </c>
      <c r="F69" s="314"/>
      <c r="G69" s="315"/>
      <c r="H69" s="501"/>
      <c r="I69" t="s" s="503">
        <f>IF(OR(K14="",K14=0),"",K14)</f>
      </c>
      <c r="J69" t="s" s="825">
        <f>IF(F69="","",VLOOKUP(F69,'10. Condition and Temporal'!$B$6:$F$103,5,FALSE))</f>
      </c>
      <c r="K69" s="504"/>
      <c r="L69" t="s" s="418">
        <f>_xlfn.IFERROR(IF(D69="","",IF(AX69="Distinctiveness",(((((I69*AH69*AJ69*AY69)-(I69*V69*X69))*(AV69*AT69))+(I69*V69*X69))*AP69)/1000,((((I69*AH69*AJ69*AY69)-(I69*V69*X69*AJ14))*(AV69*AR69))+(I69*V69*X69*AJ14))*AP69/1000)),"This intervention is not permitted within the SSM ▲")</f>
      </c>
      <c r="M69" t="s" s="311">
        <f>_xlfn.IFERROR(IF(F69="","",L69-AD69),"Error ▲")</f>
      </c>
      <c r="N69" s="414"/>
      <c r="O69" s="415"/>
      <c r="P69" s="315"/>
      <c r="Q69" s="380"/>
      <c r="R69" s="219"/>
      <c r="S69" s="381"/>
      <c r="T69" t="s" s="295">
        <f>IF(D69="","",K14)</f>
      </c>
      <c r="U69" t="s" s="285">
        <f>IF($D69="","",T14)</f>
      </c>
      <c r="V69" t="s" s="313">
        <f>IF($D69="","",V14)</f>
      </c>
      <c r="W69" t="s" s="295">
        <f>IF($D69="","",W14)</f>
      </c>
      <c r="X69" t="s" s="285">
        <f>IF($D69="","",X14)</f>
      </c>
      <c r="Y69" s="511"/>
      <c r="Z69" s="511"/>
      <c r="AA69" s="511"/>
      <c r="AB69" t="s" s="313">
        <f>IF($D69="","",AB14)</f>
      </c>
      <c r="AC69" t="s" s="285">
        <f>IF($D69="","",AD14)</f>
      </c>
      <c r="AD69" t="s" s="313">
        <f>IF(AC69="","",((T69*V69*X69)*AC69*AJ14)/1000)</f>
      </c>
      <c r="AE69" t="s" s="295">
        <f>IF(AD69="","",IF(AH69&lt;V69,"Not Acceptable","Acceptable"))</f>
      </c>
      <c r="AF69" t="s" s="295">
        <f>IF(D69="","",I69)</f>
      </c>
      <c r="AG69" t="s" s="285">
        <f>IF(D69="","",VLOOKUP(F69,'9. All Habitats + Multipliers'!$C$4:$K$102,5,FALSE))</f>
      </c>
      <c r="AH69" t="s" s="313">
        <f>IF(AG69="","",VLOOKUP(AG69,'11. Lists'!$B$47:$D$49,2,FALSE))</f>
      </c>
      <c r="AI69" t="s" s="285">
        <f>IF(D69="","",J69)</f>
      </c>
      <c r="AJ69" t="s" s="291">
        <f>IF(AI69="","",VLOOKUP(AI69,'11. Lists'!$F$47:$G$51,2,FALSE))</f>
      </c>
      <c r="AK69" s="511"/>
      <c r="AL69" s="511"/>
      <c r="AM69" s="511"/>
      <c r="AN69" t="s" s="291">
        <f>IF(H69="","",H69)</f>
      </c>
      <c r="AO69" t="s" s="291">
        <f>IF(AN69="","",VLOOKUP(AN69,'11. Lists'!$F$36:$H$38,2,FALSE))</f>
      </c>
      <c r="AP69" t="s" s="313">
        <f>IF(AN69="","",VLOOKUP(AN69,'11. Lists'!$F$36:$H$38,3,FALSE))</f>
      </c>
      <c r="AQ69" t="s" s="285">
        <f>IF(D69="","",IF(AX69="Distinctiveness","N/A",VLOOKUP(F69,'10. Condition and Temporal'!$B$6:$L$103,11,FALSE)))</f>
      </c>
      <c r="AR69" t="s" s="313">
        <f>IF(AQ69="","",IF(AQ69="N/A","1",VLOOKUP(AQ69,'11. Lists'!$I$47:$K$80,3,FALSE)))</f>
      </c>
      <c r="AS69" t="s" s="285">
        <f>IF(D69="","",IF(AX69="Condition","N/A",VLOOKUP(F69,'10. Condition and Temporal'!$B$6:$M$106,12,FALSE)))</f>
      </c>
      <c r="AT69" t="s" s="313">
        <f>IF(AS69="","",IF(AS69="N/A","1",VLOOKUP(AS69,'11. Lists'!$I$47:$K$80,3,FALSE)))</f>
      </c>
      <c r="AU69" t="s" s="285">
        <f>IF(D69="","",VLOOKUP(F69,'9. All Habitats + Multipliers'!$C$4:$K$102,8,FALSE))</f>
      </c>
      <c r="AV69" t="s" s="313">
        <f>IF(AU69="","",VLOOKUP(AU69,'11. Lists'!$J$35:$K$38,2,FALSE))</f>
      </c>
      <c r="AW69" t="s" s="285">
        <f>IF(D69="","",VLOOKUP(D69,'10. Condition and Temporal'!$B$6:$M$103,4,FALSE))</f>
      </c>
      <c r="AX69" t="s" s="313">
        <f>IF(F69="","",IF(D69=F69,"Condition","Distinctiveness"))</f>
      </c>
      <c r="AY69" t="s" s="813">
        <v>327</v>
      </c>
      <c r="AZ69" t="s" s="824">
        <v>327</v>
      </c>
      <c r="BA69" s="401">
        <v>4</v>
      </c>
      <c r="BB69" t="s" s="291">
        <f>TRIM(MID(SUBSTITUTE($AW$66,$BA$62,REPT(" ",LEN($AW$66))),($BA69-1)*LEN($AW$66)+1,LEN($AW$66)))</f>
      </c>
      <c r="BC69" t="s" s="291">
        <f>TRIM(MID(SUBSTITUTE($AW$67,$BA$62,REPT(" ",LEN($AW$67))),($BA69-1)*LEN($AW$67)+1,LEN($AW$67)))</f>
      </c>
      <c r="BD69" t="s" s="291">
        <f>TRIM(MID(SUBSTITUTE($AW$68,$BA$62,REPT(" ",LEN($AW$68))),($BA69-1)*LEN($AW$68)+1,LEN($AW$68)))</f>
      </c>
      <c r="BE69" t="s" s="291">
        <f>TRIM(MID(SUBSTITUTE($AW$69,$BA$62,REPT(" ",LEN($AW$69))),($BA69-1)*LEN($AW$69)+1,LEN($AW$69)))</f>
      </c>
      <c r="BF69" t="s" s="291">
        <f>TRIM(MID(SUBSTITUTE($AW$70,$BA$62,REPT(" ",LEN($AW$70))),($BA69-1)*LEN($AW$70)+1,LEN($AW$70)))</f>
      </c>
      <c r="BG69" t="s" s="291">
        <f>TRIM(MID(SUBSTITUTE($AW$71,$BA$62,REPT(" ",LEN($AW$71))),($BA69-1)*LEN($AW$71)+1,LEN($AW$71)))</f>
      </c>
      <c r="BH69" t="s" s="291">
        <f>TRIM(MID(SUBSTITUTE($AW$72,$BA$62,REPT(" ",LEN($AW$72))),($BA69-1)*LEN($AW$72)+1,LEN($AW$72)))</f>
      </c>
      <c r="BI69" t="s" s="291">
        <f>TRIM(MID(SUBSTITUTE($AW$73,$BA$62,REPT(" ",LEN($AW$73))),($BA69-1)*LEN($AW$73)+1,LEN($AW$73)))</f>
      </c>
      <c r="BJ69" t="s" s="291">
        <f>TRIM(MID(SUBSTITUTE($AW$74,$BA$62,REPT(" ",LEN($AW$74))),($BA69-1)*LEN($AW$74)+1,LEN($AW$74)))</f>
      </c>
      <c r="BK69" t="s" s="291">
        <f>TRIM(MID(SUBSTITUTE($AW$75,$BA$62,REPT(" ",LEN($AW$75))),($BA69-1)*LEN($AW$75)+1,LEN($AW$75)))</f>
      </c>
      <c r="BL69" t="s" s="291">
        <f>TRIM(MID(SUBSTITUTE($AW$76,$BA$62,REPT(" ",LEN($AW$76))),($BA69-1)*LEN($AW$76)+1,LEN($AW$76)))</f>
      </c>
      <c r="BM69" t="s" s="291">
        <f>TRIM(MID(SUBSTITUTE($AW$77,$BA$62,REPT(" ",LEN($AW$77))),($BA69-1)*LEN($AW$77)+1,LEN($AW$77)))</f>
      </c>
      <c r="BN69" t="s" s="291">
        <f>TRIM(MID(SUBSTITUTE($AW$78,$BA$62,REPT(" ",LEN($AW$78))),($BA69-1)*LEN($AW$78)+1,LEN($AW$78)))</f>
      </c>
      <c r="BO69" t="s" s="291">
        <f>TRIM(MID(SUBSTITUTE($AW$79,$BA$62,REPT(" ",LEN($AW$79))),($BA69-1)*LEN($AW$79)+1,LEN($AW$79)))</f>
      </c>
      <c r="BP69" t="s" s="291">
        <f>TRIM(MID(SUBSTITUTE($AW$80,$BA$62,REPT(" ",LEN($AW$80))),($BA69-1)*LEN($AW$80)+1,LEN($AW$80)))</f>
      </c>
      <c r="BQ69" t="s" s="291">
        <f>TRIM(MID(SUBSTITUTE($AW$81,$BA$62,REPT(" ",LEN($AW$81))),($BA69-1)*LEN($AW$81)+1,LEN($AW$81)))</f>
      </c>
      <c r="BR69" t="s" s="291">
        <f>TRIM(MID(SUBSTITUTE($AW$82,$BA$62,REPT(" ",LEN($AW$82))),($BA69-1)*LEN($AW$82)+1,LEN($AW$82)))</f>
      </c>
      <c r="BS69" t="s" s="291">
        <f>TRIM(MID(SUBSTITUTE($AW$83,$BA$62,REPT(" ",LEN($AW$83))),($BA69-1)*LEN($AW$83)+1,LEN($AW$83)))</f>
      </c>
      <c r="BT69" t="s" s="291">
        <f>TRIM(MID(SUBSTITUTE($AW$84,$BA$62,REPT(" ",LEN($AW$84))),($BA69-1)*LEN($AW$84)+1,LEN($AW$84)))</f>
      </c>
      <c r="BU69" t="s" s="313">
        <f>TRIM(MID(SUBSTITUTE($AW$85,$BA$62,REPT(" ",LEN($AW$85))),($BA69-1)*LEN($AW$85)+1,LEN($AW$85)))</f>
      </c>
      <c r="BV69" t="s" s="285">
        <f>IF(BX69=0,"",CONCATENATE(BW69,"66:",BW69,BX69+65))</f>
      </c>
      <c r="BW69" t="s" s="291">
        <v>227</v>
      </c>
      <c r="BX69" s="518">
        <f>BE64</f>
        <v>0</v>
      </c>
    </row>
    <row r="70" ht="15.75" customHeight="1">
      <c r="A70" s="379"/>
      <c r="B70" s="296">
        <v>5</v>
      </c>
      <c r="C70" t="s" s="519">
        <f>IF(D70="","",C15)</f>
      </c>
      <c r="D70" t="s" s="520">
        <f>IF(OR(K15="",K15=0),"",D15)</f>
      </c>
      <c r="E70" t="s" s="521">
        <f>IF(AX70="","",AX70)</f>
      </c>
      <c r="F70" s="314"/>
      <c r="G70" s="315"/>
      <c r="H70" s="501"/>
      <c r="I70" t="s" s="503">
        <f>IF(OR(K15="",K15=0),"",K15)</f>
      </c>
      <c r="J70" t="s" s="825">
        <f>IF(F70="","",VLOOKUP(F70,'10. Condition and Temporal'!$B$6:$F$103,5,FALSE))</f>
      </c>
      <c r="K70" s="504"/>
      <c r="L70" t="s" s="418">
        <f>_xlfn.IFERROR(IF(D70="","",IF(AX70="Distinctiveness",(((((I70*AH70*AJ70*AY70)-(I70*V70*X70))*(AV70*AT70))+(I70*V70*X70))*AP70)/1000,((((I70*AH70*AJ70*AY70)-(I70*V70*X70*AJ15))*(AV70*AR70))+(I70*V70*X70*AJ15))*AP70/1000)),"This intervention is not permitted within the SSM ▲")</f>
      </c>
      <c r="M70" t="s" s="311">
        <f>_xlfn.IFERROR(IF(F70="","",L70-AD70),"Error ▲")</f>
      </c>
      <c r="N70" s="414"/>
      <c r="O70" s="415"/>
      <c r="P70" s="315"/>
      <c r="Q70" s="380"/>
      <c r="R70" s="219"/>
      <c r="S70" s="381"/>
      <c r="T70" t="s" s="295">
        <f>IF(D70="","",K15)</f>
      </c>
      <c r="U70" t="s" s="285">
        <f>IF($D70="","",T15)</f>
      </c>
      <c r="V70" t="s" s="313">
        <f>IF($D70="","",V15)</f>
      </c>
      <c r="W70" t="s" s="295">
        <f>IF($D70="","",W15)</f>
      </c>
      <c r="X70" t="s" s="285">
        <f>IF($D70="","",X15)</f>
      </c>
      <c r="Y70" s="511"/>
      <c r="Z70" s="511"/>
      <c r="AA70" s="511"/>
      <c r="AB70" t="s" s="313">
        <f>IF($D70="","",AB15)</f>
      </c>
      <c r="AC70" t="s" s="285">
        <f>IF($D70="","",AD15)</f>
      </c>
      <c r="AD70" t="s" s="313">
        <f>IF(AC70="","",((T70*V70*X70)*AC70*AJ15)/1000)</f>
      </c>
      <c r="AE70" t="s" s="295">
        <f>IF(AD70="","",IF(AH70&lt;V70,"Not Acceptable","Acceptable"))</f>
      </c>
      <c r="AF70" t="s" s="295">
        <f>IF(D70="","",I70)</f>
      </c>
      <c r="AG70" t="s" s="285">
        <f>IF(D70="","",VLOOKUP(F70,'9. All Habitats + Multipliers'!$C$4:$K$102,5,FALSE))</f>
      </c>
      <c r="AH70" t="s" s="313">
        <f>IF(AG70="","",VLOOKUP(AG70,'11. Lists'!$B$47:$D$49,2,FALSE))</f>
      </c>
      <c r="AI70" t="s" s="285">
        <f>IF(D70="","",J70)</f>
      </c>
      <c r="AJ70" t="s" s="291">
        <f>IF(AI70="","",VLOOKUP(AI70,'11. Lists'!$F$47:$G$51,2,FALSE))</f>
      </c>
      <c r="AK70" s="511"/>
      <c r="AL70" s="511"/>
      <c r="AM70" s="511"/>
      <c r="AN70" t="s" s="291">
        <f>IF(H70="","",H70)</f>
      </c>
      <c r="AO70" t="s" s="291">
        <f>IF(AN70="","",VLOOKUP(AN70,'11. Lists'!$F$36:$H$38,2,FALSE))</f>
      </c>
      <c r="AP70" t="s" s="313">
        <f>IF(AN70="","",VLOOKUP(AN70,'11. Lists'!$F$36:$H$38,3,FALSE))</f>
      </c>
      <c r="AQ70" t="s" s="285">
        <f>IF(D70="","",IF(AX70="Distinctiveness","N/A",VLOOKUP(F70,'10. Condition and Temporal'!$B$6:$L$103,11,FALSE)))</f>
      </c>
      <c r="AR70" t="s" s="313">
        <f>IF(AQ70="","",IF(AQ70="N/A","1",VLOOKUP(AQ70,'11. Lists'!$I$47:$K$80,3,FALSE)))</f>
      </c>
      <c r="AS70" t="s" s="285">
        <f>IF(D70="","",IF(AX70="Condition","N/A",VLOOKUP(F70,'10. Condition and Temporal'!$B$6:$M$106,12,FALSE)))</f>
      </c>
      <c r="AT70" t="s" s="313">
        <f>IF(AS70="","",IF(AS70="N/A","1",VLOOKUP(AS70,'11. Lists'!$I$47:$K$80,3,FALSE)))</f>
      </c>
      <c r="AU70" t="s" s="285">
        <f>IF(D70="","",VLOOKUP(F70,'9. All Habitats + Multipliers'!$C$4:$K$102,8,FALSE))</f>
      </c>
      <c r="AV70" t="s" s="313">
        <f>IF(AU70="","",VLOOKUP(AU70,'11. Lists'!$J$35:$K$38,2,FALSE))</f>
      </c>
      <c r="AW70" t="s" s="285">
        <f>IF(D70="","",VLOOKUP(D70,'10. Condition and Temporal'!$B$6:$M$103,4,FALSE))</f>
      </c>
      <c r="AX70" t="s" s="313">
        <f>IF(F70="","",IF(D70=F70,"Condition","Distinctiveness"))</f>
      </c>
      <c r="AY70" t="s" s="813">
        <v>327</v>
      </c>
      <c r="AZ70" t="s" s="824">
        <v>327</v>
      </c>
      <c r="BA70" s="401">
        <v>5</v>
      </c>
      <c r="BB70" t="s" s="291">
        <f>TRIM(MID(SUBSTITUTE($AW$66,$BA$62,REPT(" ",LEN($AW$66))),($BA70-1)*LEN($AW$66)+1,LEN($AW$66)))</f>
      </c>
      <c r="BC70" t="s" s="291">
        <f>TRIM(MID(SUBSTITUTE($AW$67,$BA$62,REPT(" ",LEN($AW$67))),($BA70-1)*LEN($AW$67)+1,LEN($AW$67)))</f>
      </c>
      <c r="BD70" t="s" s="291">
        <f>TRIM(MID(SUBSTITUTE($AW$68,$BA$62,REPT(" ",LEN($AW$68))),($BA70-1)*LEN($AW$68)+1,LEN($AW$68)))</f>
      </c>
      <c r="BE70" t="s" s="291">
        <f>TRIM(MID(SUBSTITUTE($AW$69,$BA$62,REPT(" ",LEN($AW$69))),($BA70-1)*LEN($AW$69)+1,LEN($AW$69)))</f>
      </c>
      <c r="BF70" t="s" s="291">
        <f>TRIM(MID(SUBSTITUTE($AW$70,$BA$62,REPT(" ",LEN($AW$70))),($BA70-1)*LEN($AW$70)+1,LEN($AW$70)))</f>
      </c>
      <c r="BG70" t="s" s="291">
        <f>TRIM(MID(SUBSTITUTE($AW$71,$BA$62,REPT(" ",LEN($AW$71))),($BA70-1)*LEN($AW$71)+1,LEN($AW$71)))</f>
      </c>
      <c r="BH70" t="s" s="291">
        <f>TRIM(MID(SUBSTITUTE($AW$72,$BA$62,REPT(" ",LEN($AW$72))),($BA70-1)*LEN($AW$72)+1,LEN($AW$72)))</f>
      </c>
      <c r="BI70" t="s" s="291">
        <f>TRIM(MID(SUBSTITUTE($AW$73,$BA$62,REPT(" ",LEN($AW$73))),($BA70-1)*LEN($AW$73)+1,LEN($AW$73)))</f>
      </c>
      <c r="BJ70" t="s" s="291">
        <f>TRIM(MID(SUBSTITUTE($AW$74,$BA$62,REPT(" ",LEN($AW$74))),($BA70-1)*LEN($AW$74)+1,LEN($AW$74)))</f>
      </c>
      <c r="BK70" t="s" s="291">
        <f>TRIM(MID(SUBSTITUTE($AW$75,$BA$62,REPT(" ",LEN($AW$75))),($BA70-1)*LEN($AW$75)+1,LEN($AW$75)))</f>
      </c>
      <c r="BL70" t="s" s="291">
        <f>TRIM(MID(SUBSTITUTE($AW$76,$BA$62,REPT(" ",LEN($AW$76))),($BA70-1)*LEN($AW$76)+1,LEN($AW$76)))</f>
      </c>
      <c r="BM70" t="s" s="291">
        <f>TRIM(MID(SUBSTITUTE($AW$77,$BA$62,REPT(" ",LEN($AW$77))),($BA70-1)*LEN($AW$77)+1,LEN($AW$77)))</f>
      </c>
      <c r="BN70" t="s" s="291">
        <f>TRIM(MID(SUBSTITUTE($AW$78,$BA$62,REPT(" ",LEN($AW$78))),($BA70-1)*LEN($AW$78)+1,LEN($AW$78)))</f>
      </c>
      <c r="BO70" t="s" s="291">
        <f>TRIM(MID(SUBSTITUTE($AW$79,$BA$62,REPT(" ",LEN($AW$79))),($BA70-1)*LEN($AW$79)+1,LEN($AW$79)))</f>
      </c>
      <c r="BP70" t="s" s="291">
        <f>TRIM(MID(SUBSTITUTE($AW$80,$BA$62,REPT(" ",LEN($AW$80))),($BA70-1)*LEN($AW$80)+1,LEN($AW$80)))</f>
      </c>
      <c r="BQ70" t="s" s="291">
        <f>TRIM(MID(SUBSTITUTE($AW$81,$BA$62,REPT(" ",LEN($AW$81))),($BA70-1)*LEN($AW$81)+1,LEN($AW$81)))</f>
      </c>
      <c r="BR70" t="s" s="291">
        <f>TRIM(MID(SUBSTITUTE($AW$82,$BA$62,REPT(" ",LEN($AW$82))),($BA70-1)*LEN($AW$82)+1,LEN($AW$82)))</f>
      </c>
      <c r="BS70" t="s" s="291">
        <f>TRIM(MID(SUBSTITUTE($AW$83,$BA$62,REPT(" ",LEN($AW$83))),($BA70-1)*LEN($AW$83)+1,LEN($AW$83)))</f>
      </c>
      <c r="BT70" t="s" s="291">
        <f>TRIM(MID(SUBSTITUTE($AW$84,$BA$62,REPT(" ",LEN($AW$84))),($BA70-1)*LEN($AW$84)+1,LEN($AW$84)))</f>
      </c>
      <c r="BU70" t="s" s="313">
        <f>TRIM(MID(SUBSTITUTE($AW$85,$BA$62,REPT(" ",LEN($AW$85))),($BA70-1)*LEN($AW$85)+1,LEN($AW$85)))</f>
      </c>
      <c r="BV70" t="s" s="285">
        <f>IF(BX70=0,"",CONCATENATE(BW70,"66:",BW70,BX70+65))</f>
      </c>
      <c r="BW70" t="s" s="291">
        <v>228</v>
      </c>
      <c r="BX70" s="518">
        <f>BF64</f>
        <v>0</v>
      </c>
    </row>
    <row r="71" ht="15.75" customHeight="1">
      <c r="A71" s="379"/>
      <c r="B71" s="296">
        <v>6</v>
      </c>
      <c r="C71" t="s" s="519">
        <f>IF(D71="","",C16)</f>
      </c>
      <c r="D71" t="s" s="520">
        <f>IF(OR(K16="",K16=0),"",D16)</f>
      </c>
      <c r="E71" t="s" s="521">
        <f>IF(AX71="","",AX71)</f>
      </c>
      <c r="F71" s="314"/>
      <c r="G71" s="315"/>
      <c r="H71" s="501"/>
      <c r="I71" t="s" s="503">
        <f>IF(OR(K16="",K16=0),"",K16)</f>
      </c>
      <c r="J71" t="s" s="825">
        <f>IF(F71="","",VLOOKUP(F71,'10. Condition and Temporal'!$B$6:$F$103,5,FALSE))</f>
      </c>
      <c r="K71" s="504"/>
      <c r="L71" t="s" s="418">
        <f>_xlfn.IFERROR(IF(D71="","",IF(AX71="Distinctiveness",(((((I71*AH71*AJ71*AY71)-(I71*V71*X71))*(AV71*AT71))+(I71*V71*X71))*AP71)/1000,((((I71*AH71*AJ71*AY71)-(I71*V71*X71*AJ16))*(AV71*AR71))+(I71*V71*X71*AJ16))*AP71/1000)),"This intervention is not permitted within the SSM ▲")</f>
      </c>
      <c r="M71" t="s" s="311">
        <f>_xlfn.IFERROR(IF(F71="","",L71-AD71),"Error ▲")</f>
      </c>
      <c r="N71" s="414"/>
      <c r="O71" s="415"/>
      <c r="P71" s="315"/>
      <c r="Q71" s="380"/>
      <c r="R71" s="219"/>
      <c r="S71" s="381"/>
      <c r="T71" t="s" s="295">
        <f>IF(D71="","",K16)</f>
      </c>
      <c r="U71" t="s" s="285">
        <f>IF($D71="","",T16)</f>
      </c>
      <c r="V71" t="s" s="313">
        <f>IF($D71="","",V16)</f>
      </c>
      <c r="W71" t="s" s="295">
        <f>IF($D71="","",W16)</f>
      </c>
      <c r="X71" t="s" s="285">
        <f>IF($D71="","",X16)</f>
      </c>
      <c r="Y71" s="511"/>
      <c r="Z71" s="511"/>
      <c r="AA71" s="511"/>
      <c r="AB71" t="s" s="313">
        <f>IF($D71="","",AB16)</f>
      </c>
      <c r="AC71" t="s" s="285">
        <f>IF($D71="","",AD16)</f>
      </c>
      <c r="AD71" t="s" s="313">
        <f>IF(AC71="","",((T71*V71*X71)*AC71*AJ16)/1000)</f>
      </c>
      <c r="AE71" t="s" s="295">
        <f>IF(AD71="","",IF(AH71&lt;V71,"Not Acceptable","Acceptable"))</f>
      </c>
      <c r="AF71" t="s" s="295">
        <f>IF(D71="","",I71)</f>
      </c>
      <c r="AG71" t="s" s="285">
        <f>IF(D71="","",VLOOKUP(F71,'9. All Habitats + Multipliers'!$C$4:$K$102,5,FALSE))</f>
      </c>
      <c r="AH71" t="s" s="313">
        <f>IF(AG71="","",VLOOKUP(AG71,'11. Lists'!$B$47:$D$49,2,FALSE))</f>
      </c>
      <c r="AI71" t="s" s="285">
        <f>IF(D71="","",J71)</f>
      </c>
      <c r="AJ71" t="s" s="291">
        <f>IF(AI71="","",VLOOKUP(AI71,'11. Lists'!$F$47:$G$51,2,FALSE))</f>
      </c>
      <c r="AK71" s="511"/>
      <c r="AL71" s="511"/>
      <c r="AM71" s="511"/>
      <c r="AN71" t="s" s="291">
        <f>IF(H71="","",H71)</f>
      </c>
      <c r="AO71" t="s" s="291">
        <f>IF(AN71="","",VLOOKUP(AN71,'11. Lists'!$F$36:$H$38,2,FALSE))</f>
      </c>
      <c r="AP71" t="s" s="313">
        <f>IF(AN71="","",VLOOKUP(AN71,'11. Lists'!$F$36:$H$38,3,FALSE))</f>
      </c>
      <c r="AQ71" t="s" s="285">
        <f>IF(D71="","",IF(AX71="Distinctiveness","N/A",VLOOKUP(F71,'10. Condition and Temporal'!$B$6:$L$103,11,FALSE)))</f>
      </c>
      <c r="AR71" t="s" s="313">
        <f>IF(AQ71="","",IF(AQ71="N/A","1",VLOOKUP(AQ71,'11. Lists'!$I$47:$K$80,3,FALSE)))</f>
      </c>
      <c r="AS71" t="s" s="285">
        <f>IF(D71="","",IF(AX71="Condition","N/A",VLOOKUP(F71,'10. Condition and Temporal'!$B$6:$M$106,12,FALSE)))</f>
      </c>
      <c r="AT71" t="s" s="313">
        <f>IF(AS71="","",IF(AS71="N/A","1",VLOOKUP(AS71,'11. Lists'!$I$47:$K$80,3,FALSE)))</f>
      </c>
      <c r="AU71" t="s" s="285">
        <f>IF(D71="","",VLOOKUP(F71,'9. All Habitats + Multipliers'!$C$4:$K$102,8,FALSE))</f>
      </c>
      <c r="AV71" t="s" s="313">
        <f>IF(AU71="","",VLOOKUP(AU71,'11. Lists'!$J$35:$K$38,2,FALSE))</f>
      </c>
      <c r="AW71" t="s" s="285">
        <f>IF(D71="","",VLOOKUP(D71,'10. Condition and Temporal'!$B$6:$M$103,4,FALSE))</f>
      </c>
      <c r="AX71" t="s" s="313">
        <f>IF(F71="","",IF(D71=F71,"Condition","Distinctiveness"))</f>
      </c>
      <c r="AY71" t="s" s="813">
        <v>327</v>
      </c>
      <c r="AZ71" t="s" s="824">
        <v>327</v>
      </c>
      <c r="BA71" s="401">
        <v>6</v>
      </c>
      <c r="BB71" t="s" s="291">
        <f>TRIM(MID(SUBSTITUTE($AW$66,$BA$62,REPT(" ",LEN($AW$66))),($BA71-1)*LEN($AW$66)+1,LEN($AW$66)))</f>
      </c>
      <c r="BC71" t="s" s="291">
        <f>TRIM(MID(SUBSTITUTE($AW$67,$BA$62,REPT(" ",LEN($AW$67))),($BA71-1)*LEN($AW$67)+1,LEN($AW$67)))</f>
      </c>
      <c r="BD71" t="s" s="291">
        <f>TRIM(MID(SUBSTITUTE($AW$68,$BA$62,REPT(" ",LEN($AW$68))),($BA71-1)*LEN($AW$68)+1,LEN($AW$68)))</f>
      </c>
      <c r="BE71" t="s" s="291">
        <f>TRIM(MID(SUBSTITUTE($AW$69,$BA$62,REPT(" ",LEN($AW$69))),($BA71-1)*LEN($AW$69)+1,LEN($AW$69)))</f>
      </c>
      <c r="BF71" t="s" s="291">
        <f>TRIM(MID(SUBSTITUTE($AW$70,$BA$62,REPT(" ",LEN($AW$70))),($BA71-1)*LEN($AW$70)+1,LEN($AW$70)))</f>
      </c>
      <c r="BG71" t="s" s="291">
        <f>TRIM(MID(SUBSTITUTE($AW$71,$BA$62,REPT(" ",LEN($AW$71))),($BA71-1)*LEN($AW$71)+1,LEN($AW$71)))</f>
      </c>
      <c r="BH71" t="s" s="291">
        <f>TRIM(MID(SUBSTITUTE($AW$72,$BA$62,REPT(" ",LEN($AW$72))),($BA71-1)*LEN($AW$72)+1,LEN($AW$72)))</f>
      </c>
      <c r="BI71" t="s" s="291">
        <f>TRIM(MID(SUBSTITUTE($AW$73,$BA$62,REPT(" ",LEN($AW$73))),($BA71-1)*LEN($AW$73)+1,LEN($AW$73)))</f>
      </c>
      <c r="BJ71" t="s" s="291">
        <f>TRIM(MID(SUBSTITUTE($AW$74,$BA$62,REPT(" ",LEN($AW$74))),($BA71-1)*LEN($AW$74)+1,LEN($AW$74)))</f>
      </c>
      <c r="BK71" t="s" s="291">
        <f>TRIM(MID(SUBSTITUTE($AW$75,$BA$62,REPT(" ",LEN($AW$75))),($BA71-1)*LEN($AW$75)+1,LEN($AW$75)))</f>
      </c>
      <c r="BL71" t="s" s="291">
        <f>TRIM(MID(SUBSTITUTE($AW$76,$BA$62,REPT(" ",LEN($AW$76))),($BA71-1)*LEN($AW$76)+1,LEN($AW$76)))</f>
      </c>
      <c r="BM71" t="s" s="291">
        <f>TRIM(MID(SUBSTITUTE($AW$77,$BA$62,REPT(" ",LEN($AW$77))),($BA71-1)*LEN($AW$77)+1,LEN($AW$77)))</f>
      </c>
      <c r="BN71" t="s" s="291">
        <f>TRIM(MID(SUBSTITUTE($AW$78,$BA$62,REPT(" ",LEN($AW$78))),($BA71-1)*LEN($AW$78)+1,LEN($AW$78)))</f>
      </c>
      <c r="BO71" t="s" s="291">
        <f>TRIM(MID(SUBSTITUTE($AW$79,$BA$62,REPT(" ",LEN($AW$79))),($BA71-1)*LEN($AW$79)+1,LEN($AW$79)))</f>
      </c>
      <c r="BP71" t="s" s="291">
        <f>TRIM(MID(SUBSTITUTE($AW$80,$BA$62,REPT(" ",LEN($AW$80))),($BA71-1)*LEN($AW$80)+1,LEN($AW$80)))</f>
      </c>
      <c r="BQ71" t="s" s="291">
        <f>TRIM(MID(SUBSTITUTE($AW$81,$BA$62,REPT(" ",LEN($AW$81))),($BA71-1)*LEN($AW$81)+1,LEN($AW$81)))</f>
      </c>
      <c r="BR71" t="s" s="291">
        <f>TRIM(MID(SUBSTITUTE($AW$82,$BA$62,REPT(" ",LEN($AW$82))),($BA71-1)*LEN($AW$82)+1,LEN($AW$82)))</f>
      </c>
      <c r="BS71" t="s" s="291">
        <f>TRIM(MID(SUBSTITUTE($AW$83,$BA$62,REPT(" ",LEN($AW$83))),($BA71-1)*LEN($AW$83)+1,LEN($AW$83)))</f>
      </c>
      <c r="BT71" t="s" s="291">
        <f>TRIM(MID(SUBSTITUTE($AW$84,$BA$62,REPT(" ",LEN($AW$84))),($BA71-1)*LEN($AW$84)+1,LEN($AW$84)))</f>
      </c>
      <c r="BU71" t="s" s="313">
        <f>TRIM(MID(SUBSTITUTE($AW$85,$BA$62,REPT(" ",LEN($AW$85))),($BA71-1)*LEN($AW$85)+1,LEN($AW$85)))</f>
      </c>
      <c r="BV71" t="s" s="285">
        <f>IF(BX71=0,"",CONCATENATE(BW71,"66:",BW71,BX71+65))</f>
      </c>
      <c r="BW71" t="s" s="291">
        <v>229</v>
      </c>
      <c r="BX71" s="518">
        <f>BG64</f>
        <v>0</v>
      </c>
    </row>
    <row r="72" ht="15.75" customHeight="1">
      <c r="A72" s="379"/>
      <c r="B72" s="296">
        <v>7</v>
      </c>
      <c r="C72" t="s" s="519">
        <f>IF(D72="","",C17)</f>
      </c>
      <c r="D72" t="s" s="520">
        <f>IF(OR(K17="",K17=0),"",D17)</f>
      </c>
      <c r="E72" t="s" s="521">
        <f>IF(AX72="","",AX72)</f>
      </c>
      <c r="F72" s="314"/>
      <c r="G72" s="315"/>
      <c r="H72" s="501"/>
      <c r="I72" t="s" s="503">
        <f>IF(OR(K17="",K17=0),"",K17)</f>
      </c>
      <c r="J72" t="s" s="825">
        <f>IF(F72="","",VLOOKUP(F72,'10. Condition and Temporal'!$B$6:$F$103,5,FALSE))</f>
      </c>
      <c r="K72" s="504"/>
      <c r="L72" t="s" s="418">
        <f>_xlfn.IFERROR(IF(D72="","",IF(AX72="Distinctiveness",(((((I72*AH72*AJ72*AY72)-(I72*V72*X72))*(AV72*AT72))+(I72*V72*X72))*AP72)/1000,((((I72*AH72*AJ72*AY72)-(I72*V72*X72*AJ17))*(AV72*AR72))+(I72*V72*X72*AJ17))*AP72/1000)),"This intervention is not permitted within the SSM ▲")</f>
      </c>
      <c r="M72" t="s" s="311">
        <f>_xlfn.IFERROR(IF(F72="","",L72-AD72),"Error ▲")</f>
      </c>
      <c r="N72" s="414"/>
      <c r="O72" s="415"/>
      <c r="P72" s="315"/>
      <c r="Q72" s="380"/>
      <c r="R72" s="219"/>
      <c r="S72" s="381"/>
      <c r="T72" t="s" s="295">
        <f>IF(D72="","",K17)</f>
      </c>
      <c r="U72" t="s" s="285">
        <f>IF($D72="","",T17)</f>
      </c>
      <c r="V72" t="s" s="313">
        <f>IF($D72="","",V17)</f>
      </c>
      <c r="W72" t="s" s="295">
        <f>IF($D72="","",W17)</f>
      </c>
      <c r="X72" t="s" s="285">
        <f>IF($D72="","",X17)</f>
      </c>
      <c r="Y72" s="511"/>
      <c r="Z72" s="511"/>
      <c r="AA72" s="511"/>
      <c r="AB72" t="s" s="313">
        <f>IF($D72="","",AB17)</f>
      </c>
      <c r="AC72" t="s" s="285">
        <f>IF($D72="","",AD17)</f>
      </c>
      <c r="AD72" t="s" s="313">
        <f>IF(AC72="","",((T72*V72*X72)*AC72*AJ17)/1000)</f>
      </c>
      <c r="AE72" t="s" s="295">
        <f>IF(AD72="","",IF(AH72&lt;V72,"Not Acceptable","Acceptable"))</f>
      </c>
      <c r="AF72" t="s" s="295">
        <f>IF(D72="","",I72)</f>
      </c>
      <c r="AG72" t="s" s="285">
        <f>IF(D72="","",VLOOKUP(F72,'9. All Habitats + Multipliers'!$C$4:$K$102,5,FALSE))</f>
      </c>
      <c r="AH72" t="s" s="313">
        <f>IF(AG72="","",VLOOKUP(AG72,'11. Lists'!$B$47:$D$49,2,FALSE))</f>
      </c>
      <c r="AI72" t="s" s="285">
        <f>IF(D72="","",J72)</f>
      </c>
      <c r="AJ72" t="s" s="291">
        <f>IF(AI72="","",VLOOKUP(AI72,'11. Lists'!$F$47:$G$51,2,FALSE))</f>
      </c>
      <c r="AK72" s="511"/>
      <c r="AL72" s="511"/>
      <c r="AM72" s="511"/>
      <c r="AN72" t="s" s="291">
        <f>IF(H72="","",H72)</f>
      </c>
      <c r="AO72" t="s" s="291">
        <f>IF(AN72="","",VLOOKUP(AN72,'11. Lists'!$F$36:$H$38,2,FALSE))</f>
      </c>
      <c r="AP72" t="s" s="313">
        <f>IF(AN72="","",VLOOKUP(AN72,'11. Lists'!$F$36:$H$38,3,FALSE))</f>
      </c>
      <c r="AQ72" t="s" s="285">
        <f>IF(D72="","",IF(AX72="Distinctiveness","N/A",VLOOKUP(F72,'10. Condition and Temporal'!$B$6:$L$103,11,FALSE)))</f>
      </c>
      <c r="AR72" t="s" s="313">
        <f>IF(AQ72="","",IF(AQ72="N/A","1",VLOOKUP(AQ72,'11. Lists'!$I$47:$K$80,3,FALSE)))</f>
      </c>
      <c r="AS72" t="s" s="285">
        <f>IF(D72="","",IF(AX72="Condition","N/A",VLOOKUP(F72,'10. Condition and Temporal'!$B$6:$M$106,12,FALSE)))</f>
      </c>
      <c r="AT72" t="s" s="313">
        <f>IF(AS72="","",IF(AS72="N/A","1",VLOOKUP(AS72,'11. Lists'!$I$47:$K$80,3,FALSE)))</f>
      </c>
      <c r="AU72" t="s" s="285">
        <f>IF(D72="","",VLOOKUP(F72,'9. All Habitats + Multipliers'!$C$4:$K$102,8,FALSE))</f>
      </c>
      <c r="AV72" t="s" s="313">
        <f>IF(AU72="","",VLOOKUP(AU72,'11. Lists'!$J$35:$K$38,2,FALSE))</f>
      </c>
      <c r="AW72" t="s" s="285">
        <f>IF(D72="","",VLOOKUP(D72,'10. Condition and Temporal'!$B$6:$M$103,4,FALSE))</f>
      </c>
      <c r="AX72" t="s" s="313">
        <f>IF(F72="","",IF(D72=F72,"Condition","Distinctiveness"))</f>
      </c>
      <c r="AY72" t="s" s="813">
        <v>327</v>
      </c>
      <c r="AZ72" t="s" s="824">
        <v>327</v>
      </c>
      <c r="BA72" s="401">
        <v>7</v>
      </c>
      <c r="BB72" t="s" s="291">
        <f>TRIM(MID(SUBSTITUTE($AW$66,$BA$62,REPT(" ",LEN($AW$66))),($BA72-1)*LEN($AW$66)+1,LEN($AW$66)))</f>
      </c>
      <c r="BC72" t="s" s="291">
        <f>TRIM(MID(SUBSTITUTE($AW$67,$BA$62,REPT(" ",LEN($AW$67))),($BA72-1)*LEN($AW$67)+1,LEN($AW$67)))</f>
      </c>
      <c r="BD72" t="s" s="291">
        <f>TRIM(MID(SUBSTITUTE($AW$68,$BA$62,REPT(" ",LEN($AW$68))),($BA72-1)*LEN($AW$68)+1,LEN($AW$68)))</f>
      </c>
      <c r="BE72" t="s" s="291">
        <f>TRIM(MID(SUBSTITUTE($AW$69,$BA$62,REPT(" ",LEN($AW$69))),($BA72-1)*LEN($AW$69)+1,LEN($AW$69)))</f>
      </c>
      <c r="BF72" t="s" s="291">
        <f>TRIM(MID(SUBSTITUTE($AW$70,$BA$62,REPT(" ",LEN($AW$70))),($BA72-1)*LEN($AW$70)+1,LEN($AW$70)))</f>
      </c>
      <c r="BG72" t="s" s="291">
        <f>TRIM(MID(SUBSTITUTE($AW$71,$BA$62,REPT(" ",LEN($AW$71))),($BA72-1)*LEN($AW$71)+1,LEN($AW$71)))</f>
      </c>
      <c r="BH72" t="s" s="291">
        <f>TRIM(MID(SUBSTITUTE($AW$72,$BA$62,REPT(" ",LEN($AW$72))),($BA72-1)*LEN($AW$72)+1,LEN($AW$72)))</f>
      </c>
      <c r="BI72" t="s" s="291">
        <f>TRIM(MID(SUBSTITUTE($AW$73,$BA$62,REPT(" ",LEN($AW$73))),($BA72-1)*LEN($AW$73)+1,LEN($AW$73)))</f>
      </c>
      <c r="BJ72" t="s" s="291">
        <f>TRIM(MID(SUBSTITUTE($AW$74,$BA$62,REPT(" ",LEN($AW$74))),($BA72-1)*LEN($AW$74)+1,LEN($AW$74)))</f>
      </c>
      <c r="BK72" t="s" s="291">
        <f>TRIM(MID(SUBSTITUTE($AW$75,$BA$62,REPT(" ",LEN($AW$75))),($BA72-1)*LEN($AW$75)+1,LEN($AW$75)))</f>
      </c>
      <c r="BL72" t="s" s="291">
        <f>TRIM(MID(SUBSTITUTE($AW$76,$BA$62,REPT(" ",LEN($AW$76))),($BA72-1)*LEN($AW$76)+1,LEN($AW$76)))</f>
      </c>
      <c r="BM72" t="s" s="291">
        <f>TRIM(MID(SUBSTITUTE($AW$77,$BA$62,REPT(" ",LEN($AW$77))),($BA72-1)*LEN($AW$77)+1,LEN($AW$77)))</f>
      </c>
      <c r="BN72" t="s" s="291">
        <f>TRIM(MID(SUBSTITUTE($AW$78,$BA$62,REPT(" ",LEN($AW$78))),($BA72-1)*LEN($AW$78)+1,LEN($AW$78)))</f>
      </c>
      <c r="BO72" t="s" s="291">
        <f>TRIM(MID(SUBSTITUTE($AW$79,$BA$62,REPT(" ",LEN($AW$79))),($BA72-1)*LEN($AW$79)+1,LEN($AW$79)))</f>
      </c>
      <c r="BP72" t="s" s="291">
        <f>TRIM(MID(SUBSTITUTE($AW$80,$BA$62,REPT(" ",LEN($AW$80))),($BA72-1)*LEN($AW$80)+1,LEN($AW$80)))</f>
      </c>
      <c r="BQ72" t="s" s="291">
        <f>TRIM(MID(SUBSTITUTE($AW$81,$BA$62,REPT(" ",LEN($AW$81))),($BA72-1)*LEN($AW$81)+1,LEN($AW$81)))</f>
      </c>
      <c r="BR72" t="s" s="291">
        <f>TRIM(MID(SUBSTITUTE($AW$82,$BA$62,REPT(" ",LEN($AW$82))),($BA72-1)*LEN($AW$82)+1,LEN($AW$82)))</f>
      </c>
      <c r="BS72" t="s" s="291">
        <f>TRIM(MID(SUBSTITUTE($AW$83,$BA$62,REPT(" ",LEN($AW$83))),($BA72-1)*LEN($AW$83)+1,LEN($AW$83)))</f>
      </c>
      <c r="BT72" t="s" s="291">
        <f>TRIM(MID(SUBSTITUTE($AW$84,$BA$62,REPT(" ",LEN($AW$84))),($BA72-1)*LEN($AW$84)+1,LEN($AW$84)))</f>
      </c>
      <c r="BU72" t="s" s="313">
        <f>TRIM(MID(SUBSTITUTE($AW$85,$BA$62,REPT(" ",LEN($AW$85))),($BA72-1)*LEN($AW$85)+1,LEN($AW$85)))</f>
      </c>
      <c r="BV72" t="s" s="285">
        <f>IF(BX72=0,"",CONCATENATE(BW72,"66:",BW72,BX72+65))</f>
      </c>
      <c r="BW72" t="s" s="291">
        <v>230</v>
      </c>
      <c r="BX72" s="518">
        <f>BH64</f>
        <v>0</v>
      </c>
    </row>
    <row r="73" ht="15.6" customHeight="1">
      <c r="A73" s="379"/>
      <c r="B73" s="296">
        <v>8</v>
      </c>
      <c r="C73" t="s" s="519">
        <f>IF(D73="","",C18)</f>
      </c>
      <c r="D73" t="s" s="520">
        <f>IF(OR(K18="",K18=0),"",D18)</f>
      </c>
      <c r="E73" t="s" s="521">
        <f>IF(AX73="","",AX73)</f>
      </c>
      <c r="F73" s="314"/>
      <c r="G73" s="315"/>
      <c r="H73" s="501"/>
      <c r="I73" t="s" s="503">
        <f>IF(OR(K18="",K18=0),"",K18)</f>
      </c>
      <c r="J73" t="s" s="825">
        <f>IF(F73="","",VLOOKUP(F73,'10. Condition and Temporal'!$B$6:$F$103,5,FALSE))</f>
      </c>
      <c r="K73" s="504"/>
      <c r="L73" t="s" s="418">
        <f>_xlfn.IFERROR(IF(D73="","",IF(AX73="Distinctiveness",(((((I73*AH73*AJ73*AY73)-(I73*V73*X73))*(AV73*AT73))+(I73*V73*X73))*AP73)/1000,((((I73*AH73*AJ73*AY73)-(I73*V73*X73*AJ18))*(AV73*AR73))+(I73*V73*X73*AJ18))*AP73/1000)),"This intervention is not permitted within the SSM ▲")</f>
      </c>
      <c r="M73" t="s" s="311">
        <f>_xlfn.IFERROR(IF(F73="","",L73-AD73),"Error ▲")</f>
      </c>
      <c r="N73" s="414"/>
      <c r="O73" s="415"/>
      <c r="P73" s="315"/>
      <c r="Q73" s="380"/>
      <c r="R73" s="219"/>
      <c r="S73" s="381"/>
      <c r="T73" t="s" s="295">
        <f>IF(D73="","",K18)</f>
      </c>
      <c r="U73" t="s" s="285">
        <f>IF($D73="","",T18)</f>
      </c>
      <c r="V73" t="s" s="313">
        <f>IF($D73="","",V18)</f>
      </c>
      <c r="W73" t="s" s="295">
        <f>IF($D73="","",W18)</f>
      </c>
      <c r="X73" t="s" s="285">
        <f>IF($D73="","",X18)</f>
      </c>
      <c r="Y73" s="511"/>
      <c r="Z73" s="511"/>
      <c r="AA73" s="511"/>
      <c r="AB73" t="s" s="313">
        <f>IF($D73="","",AB18)</f>
      </c>
      <c r="AC73" t="s" s="285">
        <f>IF($D73="","",AD18)</f>
      </c>
      <c r="AD73" t="s" s="313">
        <f>IF(AC73="","",((T73*V73*X73)*AC73*AJ18)/1000)</f>
      </c>
      <c r="AE73" t="s" s="295">
        <f>IF(AD73="","",IF(AH73&lt;V73,"Not Acceptable","Acceptable"))</f>
      </c>
      <c r="AF73" t="s" s="295">
        <f>IF(D73="","",I73)</f>
      </c>
      <c r="AG73" t="s" s="285">
        <f>IF(D73="","",VLOOKUP(F73,'9. All Habitats + Multipliers'!$C$4:$K$102,5,FALSE))</f>
      </c>
      <c r="AH73" t="s" s="313">
        <f>IF(AG73="","",VLOOKUP(AG73,'11. Lists'!$B$47:$D$49,2,FALSE))</f>
      </c>
      <c r="AI73" t="s" s="285">
        <f>IF(D73="","",J73)</f>
      </c>
      <c r="AJ73" t="s" s="291">
        <f>IF(AI73="","",VLOOKUP(AI73,'11. Lists'!$F$47:$G$51,2,FALSE))</f>
      </c>
      <c r="AK73" s="511"/>
      <c r="AL73" s="511"/>
      <c r="AM73" s="511"/>
      <c r="AN73" t="s" s="291">
        <f>IF(H73="","",H73)</f>
      </c>
      <c r="AO73" t="s" s="291">
        <f>IF(AN73="","",VLOOKUP(AN73,'11. Lists'!$F$36:$H$38,2,FALSE))</f>
      </c>
      <c r="AP73" t="s" s="313">
        <f>IF(AN73="","",VLOOKUP(AN73,'11. Lists'!$F$36:$H$38,3,FALSE))</f>
      </c>
      <c r="AQ73" t="s" s="285">
        <f>IF(D73="","",IF(AX73="Distinctiveness","N/A",VLOOKUP(F73,'10. Condition and Temporal'!$B$6:$L$103,11,FALSE)))</f>
      </c>
      <c r="AR73" t="s" s="313">
        <f>IF(AQ73="","",IF(AQ73="N/A","1",VLOOKUP(AQ73,'11. Lists'!$I$47:$K$80,3,FALSE)))</f>
      </c>
      <c r="AS73" t="s" s="285">
        <f>IF(D73="","",IF(AX73="Condition","N/A",VLOOKUP(F73,'10. Condition and Temporal'!$B$6:$M$106,12,FALSE)))</f>
      </c>
      <c r="AT73" t="s" s="313">
        <f>IF(AS73="","",IF(AS73="N/A","1",VLOOKUP(AS73,'11. Lists'!$I$47:$K$80,3,FALSE)))</f>
      </c>
      <c r="AU73" t="s" s="285">
        <f>IF(D73="","",VLOOKUP(F73,'9. All Habitats + Multipliers'!$C$4:$K$102,8,FALSE))</f>
      </c>
      <c r="AV73" t="s" s="313">
        <f>IF(AU73="","",VLOOKUP(AU73,'11. Lists'!$J$35:$K$38,2,FALSE))</f>
      </c>
      <c r="AW73" t="s" s="285">
        <f>IF(D73="","",VLOOKUP(D73,'10. Condition and Temporal'!$B$6:$M$103,4,FALSE))</f>
      </c>
      <c r="AX73" t="s" s="313">
        <f>IF(F73="","",IF(D73=F73,"Condition","Distinctiveness"))</f>
      </c>
      <c r="AY73" t="s" s="813">
        <v>327</v>
      </c>
      <c r="AZ73" t="s" s="824">
        <v>327</v>
      </c>
      <c r="BA73" s="401">
        <v>8</v>
      </c>
      <c r="BB73" t="s" s="291">
        <f>TRIM(MID(SUBSTITUTE($AW$66,$BA$62,REPT(" ",LEN($AW$66))),($BA73-1)*LEN($AW$66)+1,LEN($AW$66)))</f>
      </c>
      <c r="BC73" t="s" s="291">
        <f>TRIM(MID(SUBSTITUTE($AW$67,$BA$62,REPT(" ",LEN($AW$67))),($BA73-1)*LEN($AW$67)+1,LEN($AW$67)))</f>
      </c>
      <c r="BD73" t="s" s="291">
        <f>TRIM(MID(SUBSTITUTE($AW$68,$BA$62,REPT(" ",LEN($AW$68))),($BA73-1)*LEN($AW$68)+1,LEN($AW$68)))</f>
      </c>
      <c r="BE73" t="s" s="291">
        <f>TRIM(MID(SUBSTITUTE($AW$69,$BA$62,REPT(" ",LEN($AW$69))),($BA73-1)*LEN($AW$69)+1,LEN($AW$69)))</f>
      </c>
      <c r="BF73" t="s" s="291">
        <f>TRIM(MID(SUBSTITUTE($AW$70,$BA$62,REPT(" ",LEN($AW$70))),($BA73-1)*LEN($AW$70)+1,LEN($AW$70)))</f>
      </c>
      <c r="BG73" t="s" s="291">
        <f>TRIM(MID(SUBSTITUTE($AW$71,$BA$62,REPT(" ",LEN($AW$71))),($BA73-1)*LEN($AW$71)+1,LEN($AW$71)))</f>
      </c>
      <c r="BH73" t="s" s="291">
        <f>TRIM(MID(SUBSTITUTE($AW$72,$BA$62,REPT(" ",LEN($AW$72))),($BA73-1)*LEN($AW$72)+1,LEN($AW$72)))</f>
      </c>
      <c r="BI73" t="s" s="291">
        <f>TRIM(MID(SUBSTITUTE($AW$73,$BA$62,REPT(" ",LEN($AW$73))),($BA73-1)*LEN($AW$73)+1,LEN($AW$73)))</f>
      </c>
      <c r="BJ73" t="s" s="291">
        <f>TRIM(MID(SUBSTITUTE($AW$74,$BA$62,REPT(" ",LEN($AW$74))),($BA73-1)*LEN($AW$74)+1,LEN($AW$74)))</f>
      </c>
      <c r="BK73" t="s" s="291">
        <f>TRIM(MID(SUBSTITUTE($AW$75,$BA$62,REPT(" ",LEN($AW$75))),($BA73-1)*LEN($AW$75)+1,LEN($AW$75)))</f>
      </c>
      <c r="BL73" t="s" s="291">
        <f>TRIM(MID(SUBSTITUTE($AW$76,$BA$62,REPT(" ",LEN($AW$76))),($BA73-1)*LEN($AW$76)+1,LEN($AW$76)))</f>
      </c>
      <c r="BM73" t="s" s="291">
        <f>TRIM(MID(SUBSTITUTE($AW$77,$BA$62,REPT(" ",LEN($AW$77))),($BA73-1)*LEN($AW$77)+1,LEN($AW$77)))</f>
      </c>
      <c r="BN73" t="s" s="291">
        <f>TRIM(MID(SUBSTITUTE($AW$78,$BA$62,REPT(" ",LEN($AW$78))),($BA73-1)*LEN($AW$78)+1,LEN($AW$78)))</f>
      </c>
      <c r="BO73" t="s" s="291">
        <f>TRIM(MID(SUBSTITUTE($AW$79,$BA$62,REPT(" ",LEN($AW$79))),($BA73-1)*LEN($AW$79)+1,LEN($AW$79)))</f>
      </c>
      <c r="BP73" t="s" s="291">
        <f>TRIM(MID(SUBSTITUTE($AW$80,$BA$62,REPT(" ",LEN($AW$80))),($BA73-1)*LEN($AW$80)+1,LEN($AW$80)))</f>
      </c>
      <c r="BQ73" t="s" s="291">
        <f>TRIM(MID(SUBSTITUTE($AW$81,$BA$62,REPT(" ",LEN($AW$81))),($BA73-1)*LEN($AW$81)+1,LEN($AW$81)))</f>
      </c>
      <c r="BR73" t="s" s="291">
        <f>TRIM(MID(SUBSTITUTE($AW$82,$BA$62,REPT(" ",LEN($AW$82))),($BA73-1)*LEN($AW$82)+1,LEN($AW$82)))</f>
      </c>
      <c r="BS73" t="s" s="291">
        <f>TRIM(MID(SUBSTITUTE($AW$83,$BA$62,REPT(" ",LEN($AW$83))),($BA73-1)*LEN($AW$83)+1,LEN($AW$83)))</f>
      </c>
      <c r="BT73" t="s" s="291">
        <f>TRIM(MID(SUBSTITUTE($AW$84,$BA$62,REPT(" ",LEN($AW$84))),($BA73-1)*LEN($AW$84)+1,LEN($AW$84)))</f>
      </c>
      <c r="BU73" t="s" s="313">
        <f>TRIM(MID(SUBSTITUTE($AW$85,$BA$62,REPT(" ",LEN($AW$85))),($BA73-1)*LEN($AW$85)+1,LEN($AW$85)))</f>
      </c>
      <c r="BV73" t="s" s="285">
        <f>IF(BX73=0,"",CONCATENATE(BW73,"66:",BW73,BX73+65))</f>
      </c>
      <c r="BW73" t="s" s="291">
        <v>231</v>
      </c>
      <c r="BX73" s="518">
        <f>BI64</f>
        <v>0</v>
      </c>
    </row>
    <row r="74" ht="15.75" customHeight="1">
      <c r="A74" s="379"/>
      <c r="B74" s="296">
        <v>9</v>
      </c>
      <c r="C74" t="s" s="519">
        <f>IF(D74="","",C19)</f>
      </c>
      <c r="D74" t="s" s="520">
        <f>IF(OR(K19="",K19=0),"",D19)</f>
      </c>
      <c r="E74" t="s" s="521">
        <f>IF(AX74="","",AX74)</f>
      </c>
      <c r="F74" s="314"/>
      <c r="G74" s="315"/>
      <c r="H74" s="501"/>
      <c r="I74" t="s" s="503">
        <f>IF(OR(K19="",K19=0),"",K19)</f>
      </c>
      <c r="J74" t="s" s="825">
        <f>IF(F74="","",VLOOKUP(F74,'10. Condition and Temporal'!$B$6:$F$103,5,FALSE))</f>
      </c>
      <c r="K74" s="504"/>
      <c r="L74" t="s" s="418">
        <f>_xlfn.IFERROR(IF(D74="","",IF(AX74="Distinctiveness",(((((I74*AH74*AJ74*AY74)-(I74*V74*X74))*(AV74*AT74))+(I74*V74*X74))*AP74)/1000,((((I74*AH74*AJ74*AY74)-(I74*V74*X74*AJ19))*(AV74*AR74))+(I74*V74*X74*AJ19))*AP74/1000)),"This intervention is not permitted within the SSM ▲")</f>
      </c>
      <c r="M74" t="s" s="311">
        <f>_xlfn.IFERROR(IF(F74="","",L74-AD74),"Error ▲")</f>
      </c>
      <c r="N74" s="414"/>
      <c r="O74" s="415"/>
      <c r="P74" s="315"/>
      <c r="Q74" s="380"/>
      <c r="R74" s="219"/>
      <c r="S74" s="381"/>
      <c r="T74" t="s" s="295">
        <f>IF(D74="","",K19)</f>
      </c>
      <c r="U74" t="s" s="285">
        <f>IF($D74="","",T19)</f>
      </c>
      <c r="V74" t="s" s="313">
        <f>IF($D74="","",V19)</f>
      </c>
      <c r="W74" t="s" s="295">
        <f>IF($D74="","",W19)</f>
      </c>
      <c r="X74" t="s" s="285">
        <f>IF($D74="","",X19)</f>
      </c>
      <c r="Y74" s="511"/>
      <c r="Z74" s="511"/>
      <c r="AA74" s="511"/>
      <c r="AB74" t="s" s="313">
        <f>IF($D74="","",AB19)</f>
      </c>
      <c r="AC74" t="s" s="285">
        <f>IF($D74="","",AD19)</f>
      </c>
      <c r="AD74" t="s" s="313">
        <f>IF(AC74="","",((T74*V74*X74)*AC74*AJ19)/1000)</f>
      </c>
      <c r="AE74" t="s" s="295">
        <f>IF(AD74="","",IF(AH74&lt;V74,"Not Acceptable","Acceptable"))</f>
      </c>
      <c r="AF74" t="s" s="295">
        <f>IF(D74="","",I74)</f>
      </c>
      <c r="AG74" t="s" s="285">
        <f>IF(D74="","",VLOOKUP(F74,'9. All Habitats + Multipliers'!$C$4:$K$102,5,FALSE))</f>
      </c>
      <c r="AH74" t="s" s="313">
        <f>IF(AG74="","",VLOOKUP(AG74,'11. Lists'!$B$47:$D$49,2,FALSE))</f>
      </c>
      <c r="AI74" t="s" s="285">
        <f>IF(D74="","",J74)</f>
      </c>
      <c r="AJ74" t="s" s="291">
        <f>IF(AI74="","",VLOOKUP(AI74,'11. Lists'!$F$47:$G$51,2,FALSE))</f>
      </c>
      <c r="AK74" s="511"/>
      <c r="AL74" s="511"/>
      <c r="AM74" s="511"/>
      <c r="AN74" t="s" s="291">
        <f>IF(H74="","",H74)</f>
      </c>
      <c r="AO74" t="s" s="291">
        <f>IF(AN74="","",VLOOKUP(AN74,'11. Lists'!$F$36:$H$38,2,FALSE))</f>
      </c>
      <c r="AP74" t="s" s="313">
        <f>IF(AN74="","",VLOOKUP(AN74,'11. Lists'!$F$36:$H$38,3,FALSE))</f>
      </c>
      <c r="AQ74" t="s" s="285">
        <f>IF(D74="","",IF(AX74="Distinctiveness","N/A",VLOOKUP(F74,'10. Condition and Temporal'!$B$6:$L$103,11,FALSE)))</f>
      </c>
      <c r="AR74" t="s" s="313">
        <f>IF(AQ74="","",IF(AQ74="N/A","1",VLOOKUP(AQ74,'11. Lists'!$I$47:$K$80,3,FALSE)))</f>
      </c>
      <c r="AS74" t="s" s="285">
        <f>IF(D74="","",IF(AX74="Condition","N/A",VLOOKUP(F74,'10. Condition and Temporal'!$B$6:$M$106,12,FALSE)))</f>
      </c>
      <c r="AT74" t="s" s="313">
        <f>IF(AS74="","",IF(AS74="N/A","1",VLOOKUP(AS74,'11. Lists'!$I$47:$K$80,3,FALSE)))</f>
      </c>
      <c r="AU74" t="s" s="285">
        <f>IF(D74="","",VLOOKUP(F74,'9. All Habitats + Multipliers'!$C$4:$K$102,8,FALSE))</f>
      </c>
      <c r="AV74" t="s" s="313">
        <f>IF(AU74="","",VLOOKUP(AU74,'11. Lists'!$J$35:$K$38,2,FALSE))</f>
      </c>
      <c r="AW74" t="s" s="285">
        <f>IF(D74="","",VLOOKUP(D74,'10. Condition and Temporal'!$B$6:$M$103,4,FALSE))</f>
      </c>
      <c r="AX74" t="s" s="313">
        <f>IF(F74="","",IF(D74=F74,"Condition","Distinctiveness"))</f>
      </c>
      <c r="AY74" t="s" s="813">
        <v>327</v>
      </c>
      <c r="AZ74" t="s" s="824">
        <v>327</v>
      </c>
      <c r="BA74" s="401">
        <v>9</v>
      </c>
      <c r="BB74" t="s" s="291">
        <f>TRIM(MID(SUBSTITUTE($AW$66,$BA$62,REPT(" ",LEN($AW$66))),($BA74-1)*LEN($AW$66)+1,LEN($AW$66)))</f>
      </c>
      <c r="BC74" t="s" s="291">
        <f>TRIM(MID(SUBSTITUTE($AW$67,$BA$62,REPT(" ",LEN($AW$67))),($BA74-1)*LEN($AW$67)+1,LEN($AW$67)))</f>
      </c>
      <c r="BD74" t="s" s="291">
        <f>TRIM(MID(SUBSTITUTE($AW$68,$BA$62,REPT(" ",LEN($AW$68))),($BA74-1)*LEN($AW$68)+1,LEN($AW$68)))</f>
      </c>
      <c r="BE74" t="s" s="291">
        <f>TRIM(MID(SUBSTITUTE($AW$69,$BA$62,REPT(" ",LEN($AW$69))),($BA74-1)*LEN($AW$69)+1,LEN($AW$69)))</f>
      </c>
      <c r="BF74" t="s" s="291">
        <f>TRIM(MID(SUBSTITUTE($AW$70,$BA$62,REPT(" ",LEN($AW$70))),($BA74-1)*LEN($AW$70)+1,LEN($AW$70)))</f>
      </c>
      <c r="BG74" t="s" s="291">
        <f>TRIM(MID(SUBSTITUTE($AW$71,$BA$62,REPT(" ",LEN($AW$71))),($BA74-1)*LEN($AW$71)+1,LEN($AW$71)))</f>
      </c>
      <c r="BH74" t="s" s="291">
        <f>TRIM(MID(SUBSTITUTE($AW$72,$BA$62,REPT(" ",LEN($AW$72))),($BA74-1)*LEN($AW$72)+1,LEN($AW$72)))</f>
      </c>
      <c r="BI74" t="s" s="291">
        <f>TRIM(MID(SUBSTITUTE($AW$73,$BA$62,REPT(" ",LEN($AW$73))),($BA74-1)*LEN($AW$73)+1,LEN($AW$73)))</f>
      </c>
      <c r="BJ74" t="s" s="291">
        <f>TRIM(MID(SUBSTITUTE($AW$74,$BA$62,REPT(" ",LEN($AW$74))),($BA74-1)*LEN($AW$74)+1,LEN($AW$74)))</f>
      </c>
      <c r="BK74" t="s" s="291">
        <f>TRIM(MID(SUBSTITUTE($AW$75,$BA$62,REPT(" ",LEN($AW$75))),($BA74-1)*LEN($AW$75)+1,LEN($AW$75)))</f>
      </c>
      <c r="BL74" t="s" s="291">
        <f>TRIM(MID(SUBSTITUTE($AW$76,$BA$62,REPT(" ",LEN($AW$76))),($BA74-1)*LEN($AW$76)+1,LEN($AW$76)))</f>
      </c>
      <c r="BM74" t="s" s="291">
        <f>TRIM(MID(SUBSTITUTE($AW$77,$BA$62,REPT(" ",LEN($AW$77))),($BA74-1)*LEN($AW$77)+1,LEN($AW$77)))</f>
      </c>
      <c r="BN74" t="s" s="291">
        <f>TRIM(MID(SUBSTITUTE($AW$78,$BA$62,REPT(" ",LEN($AW$78))),($BA74-1)*LEN($AW$78)+1,LEN($AW$78)))</f>
      </c>
      <c r="BO74" t="s" s="291">
        <f>TRIM(MID(SUBSTITUTE($AW$79,$BA$62,REPT(" ",LEN($AW$79))),($BA74-1)*LEN($AW$79)+1,LEN($AW$79)))</f>
      </c>
      <c r="BP74" t="s" s="291">
        <f>TRIM(MID(SUBSTITUTE($AW$80,$BA$62,REPT(" ",LEN($AW$80))),($BA74-1)*LEN($AW$80)+1,LEN($AW$80)))</f>
      </c>
      <c r="BQ74" t="s" s="291">
        <f>TRIM(MID(SUBSTITUTE($AW$81,$BA$62,REPT(" ",LEN($AW$81))),($BA74-1)*LEN($AW$81)+1,LEN($AW$81)))</f>
      </c>
      <c r="BR74" t="s" s="291">
        <f>TRIM(MID(SUBSTITUTE($AW$82,$BA$62,REPT(" ",LEN($AW$82))),($BA74-1)*LEN($AW$82)+1,LEN($AW$82)))</f>
      </c>
      <c r="BS74" t="s" s="291">
        <f>TRIM(MID(SUBSTITUTE($AW$83,$BA$62,REPT(" ",LEN($AW$83))),($BA74-1)*LEN($AW$83)+1,LEN($AW$83)))</f>
      </c>
      <c r="BT74" t="s" s="291">
        <f>TRIM(MID(SUBSTITUTE($AW$84,$BA$62,REPT(" ",LEN($AW$84))),($BA74-1)*LEN($AW$84)+1,LEN($AW$84)))</f>
      </c>
      <c r="BU74" t="s" s="313">
        <f>TRIM(MID(SUBSTITUTE($AW$85,$BA$62,REPT(" ",LEN($AW$85))),($BA74-1)*LEN($AW$85)+1,LEN($AW$85)))</f>
      </c>
      <c r="BV74" t="s" s="285">
        <f>IF(BX74=0,"",CONCATENATE(BW74,"66:",BW74,BX74+65))</f>
      </c>
      <c r="BW74" t="s" s="291">
        <v>232</v>
      </c>
      <c r="BX74" s="518">
        <f>BJ64</f>
        <v>0</v>
      </c>
    </row>
    <row r="75" ht="15.75" customHeight="1">
      <c r="A75" s="379"/>
      <c r="B75" s="296">
        <v>10</v>
      </c>
      <c r="C75" t="s" s="519">
        <f>IF(D75="","",C20)</f>
      </c>
      <c r="D75" t="s" s="520">
        <f>IF(OR(K20="",K20=0),"",D20)</f>
      </c>
      <c r="E75" t="s" s="521">
        <f>IF(AX75="","",AX75)</f>
      </c>
      <c r="F75" s="314"/>
      <c r="G75" s="315"/>
      <c r="H75" s="501"/>
      <c r="I75" t="s" s="503">
        <f>IF(OR(K20="",K20=0),"",K20)</f>
      </c>
      <c r="J75" t="s" s="825">
        <f>IF(F75="","",VLOOKUP(F75,'10. Condition and Temporal'!$B$6:$F$103,5,FALSE))</f>
      </c>
      <c r="K75" s="504"/>
      <c r="L75" t="s" s="418">
        <f>_xlfn.IFERROR(IF(D75="","",IF(AX75="Distinctiveness",(((((I75*AH75*AJ75*AY75)-(I75*V75*X75))*(AV75*AT75))+(I75*V75*X75))*AP75)/1000,((((I75*AH75*AJ75*AY75)-(I75*V75*X75*AJ20))*(AV75*AR75))+(I75*V75*X75*AJ20))*AP75/1000)),"This intervention is not permitted within the SSM ▲")</f>
      </c>
      <c r="M75" t="s" s="311">
        <f>_xlfn.IFERROR(IF(F75="","",L75-AD75),"Error ▲")</f>
      </c>
      <c r="N75" s="414"/>
      <c r="O75" s="415"/>
      <c r="P75" s="315"/>
      <c r="Q75" s="380"/>
      <c r="R75" s="219"/>
      <c r="S75" s="381"/>
      <c r="T75" t="s" s="295">
        <f>IF(D75="","",K20)</f>
      </c>
      <c r="U75" t="s" s="285">
        <f>IF($D75="","",T20)</f>
      </c>
      <c r="V75" t="s" s="313">
        <f>IF($D75="","",V20)</f>
      </c>
      <c r="W75" t="s" s="295">
        <f>IF($D75="","",W20)</f>
      </c>
      <c r="X75" t="s" s="285">
        <f>IF($D75="","",X20)</f>
      </c>
      <c r="Y75" s="511"/>
      <c r="Z75" s="511"/>
      <c r="AA75" s="511"/>
      <c r="AB75" t="s" s="313">
        <f>IF($D75="","",AB20)</f>
      </c>
      <c r="AC75" t="s" s="285">
        <f>IF($D75="","",AD20)</f>
      </c>
      <c r="AD75" t="s" s="313">
        <f>IF(AC75="","",((T75*V75*X75)*AC75*AJ20)/1000)</f>
      </c>
      <c r="AE75" t="s" s="295">
        <f>IF(AD75="","",IF(AH75&lt;V75,"Not Acceptable","Acceptable"))</f>
      </c>
      <c r="AF75" t="s" s="295">
        <f>IF(D75="","",I75)</f>
      </c>
      <c r="AG75" t="s" s="285">
        <f>IF(D75="","",VLOOKUP(F75,'9. All Habitats + Multipliers'!$C$4:$K$102,5,FALSE))</f>
      </c>
      <c r="AH75" t="s" s="313">
        <f>IF(AG75="","",VLOOKUP(AG75,'11. Lists'!$B$47:$D$49,2,FALSE))</f>
      </c>
      <c r="AI75" t="s" s="285">
        <f>IF(D75="","",J75)</f>
      </c>
      <c r="AJ75" t="s" s="291">
        <f>IF(AI75="","",VLOOKUP(AI75,'11. Lists'!$F$47:$G$51,2,FALSE))</f>
      </c>
      <c r="AK75" s="511"/>
      <c r="AL75" s="511"/>
      <c r="AM75" s="511"/>
      <c r="AN75" t="s" s="291">
        <f>IF(H75="","",H75)</f>
      </c>
      <c r="AO75" t="s" s="291">
        <f>IF(AN75="","",VLOOKUP(AN75,'11. Lists'!$F$36:$H$38,2,FALSE))</f>
      </c>
      <c r="AP75" t="s" s="313">
        <f>IF(AN75="","",VLOOKUP(AN75,'11. Lists'!$F$36:$H$38,3,FALSE))</f>
      </c>
      <c r="AQ75" t="s" s="285">
        <f>IF(D75="","",IF(AX75="Distinctiveness","N/A",VLOOKUP(F75,'10. Condition and Temporal'!$B$6:$L$103,11,FALSE)))</f>
      </c>
      <c r="AR75" t="s" s="313">
        <f>IF(AQ75="","",IF(AQ75="N/A","1",VLOOKUP(AQ75,'11. Lists'!$I$47:$K$80,3,FALSE)))</f>
      </c>
      <c r="AS75" t="s" s="285">
        <f>IF(D75="","",IF(AX75="Condition","N/A",VLOOKUP(F75,'10. Condition and Temporal'!$B$6:$M$106,12,FALSE)))</f>
      </c>
      <c r="AT75" t="s" s="313">
        <f>IF(AS75="","",IF(AS75="N/A","1",VLOOKUP(AS75,'11. Lists'!$I$47:$K$80,3,FALSE)))</f>
      </c>
      <c r="AU75" t="s" s="285">
        <f>IF(D75="","",VLOOKUP(F75,'9. All Habitats + Multipliers'!$C$4:$K$102,8,FALSE))</f>
      </c>
      <c r="AV75" t="s" s="313">
        <f>IF(AU75="","",VLOOKUP(AU75,'11. Lists'!$J$35:$K$38,2,FALSE))</f>
      </c>
      <c r="AW75" t="s" s="285">
        <f>IF(D75="","",VLOOKUP(D75,'10. Condition and Temporal'!$B$6:$M$103,4,FALSE))</f>
      </c>
      <c r="AX75" t="s" s="313">
        <f>IF(F75="","",IF(D75=F75,"Condition","Distinctiveness"))</f>
      </c>
      <c r="AY75" t="s" s="813">
        <v>327</v>
      </c>
      <c r="AZ75" t="s" s="824">
        <v>327</v>
      </c>
      <c r="BA75" s="401">
        <v>10</v>
      </c>
      <c r="BB75" t="s" s="291">
        <f>TRIM(MID(SUBSTITUTE($AW$66,$BA$62,REPT(" ",LEN($AW$66))),($BA75-1)*LEN($AW$66)+1,LEN($AW$66)))</f>
      </c>
      <c r="BC75" t="s" s="291">
        <f>TRIM(MID(SUBSTITUTE($AW$67,$BA$62,REPT(" ",LEN($AW$67))),($BA75-1)*LEN($AW$67)+1,LEN($AW$67)))</f>
      </c>
      <c r="BD75" t="s" s="291">
        <f>TRIM(MID(SUBSTITUTE($AW$68,$BA$62,REPT(" ",LEN($AW$68))),($BA75-1)*LEN($AW$68)+1,LEN($AW$68)))</f>
      </c>
      <c r="BE75" t="s" s="291">
        <f>TRIM(MID(SUBSTITUTE($AW$69,$BA$62,REPT(" ",LEN($AW$69))),($BA75-1)*LEN($AW$69)+1,LEN($AW$69)))</f>
      </c>
      <c r="BF75" t="s" s="291">
        <f>TRIM(MID(SUBSTITUTE($AW$70,$BA$62,REPT(" ",LEN($AW$70))),($BA75-1)*LEN($AW$70)+1,LEN($AW$70)))</f>
      </c>
      <c r="BG75" t="s" s="291">
        <f>TRIM(MID(SUBSTITUTE($AW$71,$BA$62,REPT(" ",LEN($AW$71))),($BA75-1)*LEN($AW$71)+1,LEN($AW$71)))</f>
      </c>
      <c r="BH75" t="s" s="291">
        <f>TRIM(MID(SUBSTITUTE($AW$72,$BA$62,REPT(" ",LEN($AW$72))),($BA75-1)*LEN($AW$72)+1,LEN($AW$72)))</f>
      </c>
      <c r="BI75" t="s" s="291">
        <f>TRIM(MID(SUBSTITUTE($AW$73,$BA$62,REPT(" ",LEN($AW$73))),($BA75-1)*LEN($AW$73)+1,LEN($AW$73)))</f>
      </c>
      <c r="BJ75" t="s" s="291">
        <f>TRIM(MID(SUBSTITUTE($AW$74,$BA$62,REPT(" ",LEN($AW$74))),($BA75-1)*LEN($AW$74)+1,LEN($AW$74)))</f>
      </c>
      <c r="BK75" t="s" s="291">
        <f>TRIM(MID(SUBSTITUTE($AW$75,$BA$62,REPT(" ",LEN($AW$75))),($BA75-1)*LEN($AW$75)+1,LEN($AW$75)))</f>
      </c>
      <c r="BL75" t="s" s="291">
        <f>TRIM(MID(SUBSTITUTE($AW$76,$BA$62,REPT(" ",LEN($AW$76))),($BA75-1)*LEN($AW$76)+1,LEN($AW$76)))</f>
      </c>
      <c r="BM75" t="s" s="291">
        <f>TRIM(MID(SUBSTITUTE($AW$77,$BA$62,REPT(" ",LEN($AW$77))),($BA75-1)*LEN($AW$77)+1,LEN($AW$77)))</f>
      </c>
      <c r="BN75" t="s" s="291">
        <f>TRIM(MID(SUBSTITUTE($AW$78,$BA$62,REPT(" ",LEN($AW$78))),($BA75-1)*LEN($AW$78)+1,LEN($AW$78)))</f>
      </c>
      <c r="BO75" t="s" s="291">
        <f>TRIM(MID(SUBSTITUTE($AW$79,$BA$62,REPT(" ",LEN($AW$79))),($BA75-1)*LEN($AW$79)+1,LEN($AW$79)))</f>
      </c>
      <c r="BP75" t="s" s="291">
        <f>TRIM(MID(SUBSTITUTE($AW$80,$BA$62,REPT(" ",LEN($AW$80))),($BA75-1)*LEN($AW$80)+1,LEN($AW$80)))</f>
      </c>
      <c r="BQ75" t="s" s="291">
        <f>TRIM(MID(SUBSTITUTE($AW$81,$BA$62,REPT(" ",LEN($AW$81))),($BA75-1)*LEN($AW$81)+1,LEN($AW$81)))</f>
      </c>
      <c r="BR75" t="s" s="291">
        <f>TRIM(MID(SUBSTITUTE($AW$82,$BA$62,REPT(" ",LEN($AW$82))),($BA75-1)*LEN($AW$82)+1,LEN($AW$82)))</f>
      </c>
      <c r="BS75" t="s" s="291">
        <f>TRIM(MID(SUBSTITUTE($AW$83,$BA$62,REPT(" ",LEN($AW$83))),($BA75-1)*LEN($AW$83)+1,LEN($AW$83)))</f>
      </c>
      <c r="BT75" t="s" s="291">
        <f>TRIM(MID(SUBSTITUTE($AW$84,$BA$62,REPT(" ",LEN($AW$84))),($BA75-1)*LEN($AW$84)+1,LEN($AW$84)))</f>
      </c>
      <c r="BU75" t="s" s="313">
        <f>TRIM(MID(SUBSTITUTE($AW$85,$BA$62,REPT(" ",LEN($AW$85))),($BA75-1)*LEN($AW$85)+1,LEN($AW$85)))</f>
      </c>
      <c r="BV75" t="s" s="285">
        <f>IF(BX75=0,"",CONCATENATE(BW75,"66:",BW75,BX75+65))</f>
      </c>
      <c r="BW75" t="s" s="291">
        <v>233</v>
      </c>
      <c r="BX75" s="518">
        <f>BK64</f>
        <v>0</v>
      </c>
    </row>
    <row r="76" ht="15.6" customHeight="1">
      <c r="A76" s="379"/>
      <c r="B76" s="296">
        <v>11</v>
      </c>
      <c r="C76" t="s" s="519">
        <f>IF(D76="","",C21)</f>
      </c>
      <c r="D76" t="s" s="520">
        <f>IF(OR(K21="",K21=0),"",D21)</f>
      </c>
      <c r="E76" t="s" s="521">
        <f>IF(AX76="","",AX76)</f>
      </c>
      <c r="F76" s="314"/>
      <c r="G76" s="315"/>
      <c r="H76" s="501"/>
      <c r="I76" t="s" s="503">
        <f>IF(OR(K21="",K21=0),"",K21)</f>
      </c>
      <c r="J76" t="s" s="825">
        <f>IF(F76="","",VLOOKUP(F76,'10. Condition and Temporal'!$B$6:$F$103,5,FALSE))</f>
      </c>
      <c r="K76" s="504"/>
      <c r="L76" t="s" s="418">
        <f>_xlfn.IFERROR(IF(D76="","",IF(AX76="Distinctiveness",(((((I76*AH76*AJ76*AY76)-(I76*V76*X76))*(AV76*AT76))+(I76*V76*X76))*AP76)/1000,((((I76*AH76*AJ76*AY76)-(I76*V76*X76*AJ21))*(AV76*AR76))+(I76*V76*X76*AJ21))*AP76/1000)),"This intervention is not permitted within the SSM ▲")</f>
      </c>
      <c r="M76" t="s" s="311">
        <f>_xlfn.IFERROR(IF(F76="","",L76-AD76),"Error ▲")</f>
      </c>
      <c r="N76" s="414"/>
      <c r="O76" s="415"/>
      <c r="P76" s="315"/>
      <c r="Q76" s="380"/>
      <c r="R76" s="219"/>
      <c r="S76" s="381"/>
      <c r="T76" t="s" s="295">
        <f>IF(D76="","",K21)</f>
      </c>
      <c r="U76" t="s" s="285">
        <f>IF($D76="","",T21)</f>
      </c>
      <c r="V76" t="s" s="313">
        <f>IF($D76="","",V21)</f>
      </c>
      <c r="W76" t="s" s="295">
        <f>IF($D76="","",W21)</f>
      </c>
      <c r="X76" t="s" s="285">
        <f>IF($D76="","",X21)</f>
      </c>
      <c r="Y76" s="511"/>
      <c r="Z76" s="511"/>
      <c r="AA76" s="511"/>
      <c r="AB76" t="s" s="313">
        <f>IF($D76="","",AB21)</f>
      </c>
      <c r="AC76" t="s" s="285">
        <f>IF($D76="","",AD21)</f>
      </c>
      <c r="AD76" t="s" s="313">
        <f>IF(AC76="","",((T76*V76*X76)*AC76*AJ21)/1000)</f>
      </c>
      <c r="AE76" t="s" s="295">
        <f>IF(AD76="","",IF(AH76&lt;V76,"Not Acceptable","Acceptable"))</f>
      </c>
      <c r="AF76" t="s" s="295">
        <f>IF(D76="","",I76)</f>
      </c>
      <c r="AG76" t="s" s="285">
        <f>IF(D76="","",VLOOKUP(F76,'9. All Habitats + Multipliers'!$C$4:$K$102,5,FALSE))</f>
      </c>
      <c r="AH76" t="s" s="313">
        <f>IF(AG76="","",VLOOKUP(AG76,'11. Lists'!$B$47:$D$49,2,FALSE))</f>
      </c>
      <c r="AI76" t="s" s="285">
        <f>IF(D76="","",J76)</f>
      </c>
      <c r="AJ76" t="s" s="291">
        <f>IF(AI76="","",VLOOKUP(AI76,'11. Lists'!$F$47:$G$51,2,FALSE))</f>
      </c>
      <c r="AK76" s="511"/>
      <c r="AL76" s="511"/>
      <c r="AM76" s="511"/>
      <c r="AN76" t="s" s="291">
        <f>IF(H76="","",H76)</f>
      </c>
      <c r="AO76" t="s" s="291">
        <f>IF(AN76="","",VLOOKUP(AN76,'11. Lists'!$F$36:$H$38,2,FALSE))</f>
      </c>
      <c r="AP76" t="s" s="313">
        <f>IF(AN76="","",VLOOKUP(AN76,'11. Lists'!$F$36:$H$38,3,FALSE))</f>
      </c>
      <c r="AQ76" t="s" s="285">
        <f>IF(D76="","",IF(AX76="Distinctiveness","N/A",VLOOKUP(F76,'10. Condition and Temporal'!$B$6:$L$103,11,FALSE)))</f>
      </c>
      <c r="AR76" t="s" s="313">
        <f>IF(AQ76="","",IF(AQ76="N/A","1",VLOOKUP(AQ76,'11. Lists'!$I$47:$K$80,3,FALSE)))</f>
      </c>
      <c r="AS76" t="s" s="285">
        <f>IF(D76="","",IF(AX76="Condition","N/A",VLOOKUP(F76,'10. Condition and Temporal'!$B$6:$M$106,12,FALSE)))</f>
      </c>
      <c r="AT76" t="s" s="313">
        <f>IF(AS76="","",IF(AS76="N/A","1",VLOOKUP(AS76,'11. Lists'!$I$47:$K$80,3,FALSE)))</f>
      </c>
      <c r="AU76" t="s" s="285">
        <f>IF(D76="","",VLOOKUP(F76,'9. All Habitats + Multipliers'!$C$4:$K$102,8,FALSE))</f>
      </c>
      <c r="AV76" t="s" s="313">
        <f>IF(AU76="","",VLOOKUP(AU76,'11. Lists'!$J$35:$K$38,2,FALSE))</f>
      </c>
      <c r="AW76" t="s" s="285">
        <f>IF(D76="","",VLOOKUP(D76,'10. Condition and Temporal'!$B$6:$M$103,4,FALSE))</f>
      </c>
      <c r="AX76" t="s" s="313">
        <f>IF(F76="","",IF(D76=F76,"Condition","Distinctiveness"))</f>
      </c>
      <c r="AY76" t="s" s="813">
        <v>327</v>
      </c>
      <c r="AZ76" t="s" s="824">
        <v>327</v>
      </c>
      <c r="BA76" s="401">
        <v>11</v>
      </c>
      <c r="BB76" t="s" s="291">
        <f>TRIM(MID(SUBSTITUTE($AW$66,$BA$62,REPT(" ",LEN($AW$66))),($BA76-1)*LEN($AW$66)+1,LEN($AW$66)))</f>
      </c>
      <c r="BC76" t="s" s="291">
        <f>TRIM(MID(SUBSTITUTE($AW$67,$BA$62,REPT(" ",LEN($AW$67))),($BA76-1)*LEN($AW$67)+1,LEN($AW$67)))</f>
      </c>
      <c r="BD76" t="s" s="291">
        <f>TRIM(MID(SUBSTITUTE($AW$68,$BA$62,REPT(" ",LEN($AW$68))),($BA76-1)*LEN($AW$68)+1,LEN($AW$68)))</f>
      </c>
      <c r="BE76" t="s" s="291">
        <f>TRIM(MID(SUBSTITUTE($AW$69,$BA$62,REPT(" ",LEN($AW$69))),($BA76-1)*LEN($AW$69)+1,LEN($AW$69)))</f>
      </c>
      <c r="BF76" t="s" s="291">
        <f>TRIM(MID(SUBSTITUTE($AW$70,$BA$62,REPT(" ",LEN($AW$70))),($BA76-1)*LEN($AW$70)+1,LEN($AW$70)))</f>
      </c>
      <c r="BG76" t="s" s="291">
        <f>TRIM(MID(SUBSTITUTE($AW$71,$BA$62,REPT(" ",LEN($AW$71))),($BA76-1)*LEN($AW$71)+1,LEN($AW$71)))</f>
      </c>
      <c r="BH76" t="s" s="291">
        <f>TRIM(MID(SUBSTITUTE($AW$72,$BA$62,REPT(" ",LEN($AW$72))),($BA76-1)*LEN($AW$72)+1,LEN($AW$72)))</f>
      </c>
      <c r="BI76" t="s" s="291">
        <f>TRIM(MID(SUBSTITUTE($AW$73,$BA$62,REPT(" ",LEN($AW$73))),($BA76-1)*LEN($AW$73)+1,LEN($AW$73)))</f>
      </c>
      <c r="BJ76" t="s" s="291">
        <f>TRIM(MID(SUBSTITUTE($AW$74,$BA$62,REPT(" ",LEN($AW$74))),($BA76-1)*LEN($AW$74)+1,LEN($AW$74)))</f>
      </c>
      <c r="BK76" t="s" s="291">
        <f>TRIM(MID(SUBSTITUTE($AW$75,$BA$62,REPT(" ",LEN($AW$75))),($BA76-1)*LEN($AW$75)+1,LEN($AW$75)))</f>
      </c>
      <c r="BL76" t="s" s="291">
        <f>TRIM(MID(SUBSTITUTE($AW$76,$BA$62,REPT(" ",LEN($AW$76))),($BA76-1)*LEN($AW$76)+1,LEN($AW$76)))</f>
      </c>
      <c r="BM76" t="s" s="291">
        <f>TRIM(MID(SUBSTITUTE($AW$77,$BA$62,REPT(" ",LEN($AW$77))),($BA76-1)*LEN($AW$77)+1,LEN($AW$77)))</f>
      </c>
      <c r="BN76" t="s" s="291">
        <f>TRIM(MID(SUBSTITUTE($AW$78,$BA$62,REPT(" ",LEN($AW$78))),($BA76-1)*LEN($AW$78)+1,LEN($AW$78)))</f>
      </c>
      <c r="BO76" t="s" s="291">
        <f>TRIM(MID(SUBSTITUTE($AW$79,$BA$62,REPT(" ",LEN($AW$79))),($BA76-1)*LEN($AW$79)+1,LEN($AW$79)))</f>
      </c>
      <c r="BP76" t="s" s="291">
        <f>TRIM(MID(SUBSTITUTE($AW$80,$BA$62,REPT(" ",LEN($AW$80))),($BA76-1)*LEN($AW$80)+1,LEN($AW$80)))</f>
      </c>
      <c r="BQ76" t="s" s="291">
        <f>TRIM(MID(SUBSTITUTE($AW$81,$BA$62,REPT(" ",LEN($AW$81))),($BA76-1)*LEN($AW$81)+1,LEN($AW$81)))</f>
      </c>
      <c r="BR76" t="s" s="291">
        <f>TRIM(MID(SUBSTITUTE($AW$82,$BA$62,REPT(" ",LEN($AW$82))),($BA76-1)*LEN($AW$82)+1,LEN($AW$82)))</f>
      </c>
      <c r="BS76" t="s" s="291">
        <f>TRIM(MID(SUBSTITUTE($AW$83,$BA$62,REPT(" ",LEN($AW$83))),($BA76-1)*LEN($AW$83)+1,LEN($AW$83)))</f>
      </c>
      <c r="BT76" t="s" s="291">
        <f>TRIM(MID(SUBSTITUTE($AW$84,$BA$62,REPT(" ",LEN($AW$84))),($BA76-1)*LEN($AW$84)+1,LEN($AW$84)))</f>
      </c>
      <c r="BU76" t="s" s="313">
        <f>TRIM(MID(SUBSTITUTE($AW$85,$BA$62,REPT(" ",LEN($AW$85))),($BA76-1)*LEN($AW$85)+1,LEN($AW$85)))</f>
      </c>
      <c r="BV76" t="s" s="285">
        <f>IF(BX76=0,"",CONCATENATE(BW76,"66:",BW76,BX76+65))</f>
      </c>
      <c r="BW76" t="s" s="291">
        <v>234</v>
      </c>
      <c r="BX76" s="518">
        <f>BL64</f>
        <v>0</v>
      </c>
    </row>
    <row r="77" ht="15.75" customHeight="1">
      <c r="A77" s="379"/>
      <c r="B77" s="296">
        <v>12</v>
      </c>
      <c r="C77" t="s" s="519">
        <f>IF(D77="","",C22)</f>
      </c>
      <c r="D77" t="s" s="520">
        <f>IF(OR(K22="",K22=0),"",D22)</f>
      </c>
      <c r="E77" t="s" s="521">
        <f>IF(AX77="","",AX77)</f>
      </c>
      <c r="F77" s="314"/>
      <c r="G77" s="315"/>
      <c r="H77" s="501"/>
      <c r="I77" t="s" s="503">
        <f>IF(OR(K22="",K22=0),"",K22)</f>
      </c>
      <c r="J77" t="s" s="825">
        <f>IF(F77="","",VLOOKUP(F77,'10. Condition and Temporal'!$B$6:$F$103,5,FALSE))</f>
      </c>
      <c r="K77" s="504"/>
      <c r="L77" t="s" s="418">
        <f>_xlfn.IFERROR(IF(D77="","",IF(AX77="Distinctiveness",(((((I77*AH77*AJ77*AY77)-(I77*V77*X77))*(AV77*AT77))+(I77*V77*X77))*AP77)/1000,((((I77*AH77*AJ77*AY77)-(I77*V77*X77*AJ22))*(AV77*AR77))+(I77*V77*X77*AJ22))*AP77/1000)),"This intervention is not permitted within the SSM ▲")</f>
      </c>
      <c r="M77" t="s" s="311">
        <f>_xlfn.IFERROR(IF(F77="","",L77-AD77),"Error ▲")</f>
      </c>
      <c r="N77" s="414"/>
      <c r="O77" s="415"/>
      <c r="P77" s="315"/>
      <c r="Q77" s="380"/>
      <c r="R77" s="219"/>
      <c r="S77" s="381"/>
      <c r="T77" t="s" s="295">
        <f>IF(D77="","",K22)</f>
      </c>
      <c r="U77" t="s" s="285">
        <f>IF($D77="","",T22)</f>
      </c>
      <c r="V77" t="s" s="313">
        <f>IF($D77="","",V22)</f>
      </c>
      <c r="W77" t="s" s="295">
        <f>IF($D77="","",W22)</f>
      </c>
      <c r="X77" t="s" s="285">
        <f>IF($D77="","",X22)</f>
      </c>
      <c r="Y77" s="511"/>
      <c r="Z77" s="511"/>
      <c r="AA77" s="511"/>
      <c r="AB77" t="s" s="313">
        <f>IF($D77="","",AB22)</f>
      </c>
      <c r="AC77" t="s" s="285">
        <f>IF($D77="","",AD22)</f>
      </c>
      <c r="AD77" t="s" s="313">
        <f>IF(AC77="","",((T77*V77*X77)*AC77*AJ22)/1000)</f>
      </c>
      <c r="AE77" t="s" s="295">
        <f>IF(AD77="","",IF(AH77&lt;V77,"Not Acceptable","Acceptable"))</f>
      </c>
      <c r="AF77" t="s" s="295">
        <f>IF(D77="","",I77)</f>
      </c>
      <c r="AG77" t="s" s="285">
        <f>IF(D77="","",VLOOKUP(F77,'9. All Habitats + Multipliers'!$C$4:$K$102,5,FALSE))</f>
      </c>
      <c r="AH77" t="s" s="313">
        <f>IF(AG77="","",VLOOKUP(AG77,'11. Lists'!$B$47:$D$49,2,FALSE))</f>
      </c>
      <c r="AI77" t="s" s="285">
        <f>IF(D77="","",J77)</f>
      </c>
      <c r="AJ77" t="s" s="291">
        <f>IF(AI77="","",VLOOKUP(AI77,'11. Lists'!$F$47:$G$51,2,FALSE))</f>
      </c>
      <c r="AK77" s="511"/>
      <c r="AL77" s="511"/>
      <c r="AM77" s="511"/>
      <c r="AN77" t="s" s="291">
        <f>IF(H77="","",H77)</f>
      </c>
      <c r="AO77" t="s" s="291">
        <f>IF(AN77="","",VLOOKUP(AN77,'11. Lists'!$F$36:$H$38,2,FALSE))</f>
      </c>
      <c r="AP77" t="s" s="313">
        <f>IF(AN77="","",VLOOKUP(AN77,'11. Lists'!$F$36:$H$38,3,FALSE))</f>
      </c>
      <c r="AQ77" t="s" s="285">
        <f>IF(D77="","",IF(AX77="Distinctiveness","N/A",VLOOKUP(F77,'10. Condition and Temporal'!$B$6:$L$103,11,FALSE)))</f>
      </c>
      <c r="AR77" t="s" s="313">
        <f>IF(AQ77="","",IF(AQ77="N/A","1",VLOOKUP(AQ77,'11. Lists'!$I$47:$K$80,3,FALSE)))</f>
      </c>
      <c r="AS77" t="s" s="285">
        <f>IF(D77="","",IF(AX77="Condition","N/A",VLOOKUP(F77,'10. Condition and Temporal'!$B$6:$M$106,12,FALSE)))</f>
      </c>
      <c r="AT77" t="s" s="313">
        <f>IF(AS77="","",IF(AS77="N/A","1",VLOOKUP(AS77,'11. Lists'!$I$47:$K$80,3,FALSE)))</f>
      </c>
      <c r="AU77" t="s" s="285">
        <f>IF(D77="","",VLOOKUP(F77,'9. All Habitats + Multipliers'!$C$4:$K$102,8,FALSE))</f>
      </c>
      <c r="AV77" t="s" s="313">
        <f>IF(AU77="","",VLOOKUP(AU77,'11. Lists'!$J$35:$K$38,2,FALSE))</f>
      </c>
      <c r="AW77" t="s" s="285">
        <f>IF(D77="","",VLOOKUP(D77,'10. Condition and Temporal'!$B$6:$M$103,4,FALSE))</f>
      </c>
      <c r="AX77" t="s" s="313">
        <f>IF(F77="","",IF(D77=F77,"Condition","Distinctiveness"))</f>
      </c>
      <c r="AY77" t="s" s="813">
        <v>327</v>
      </c>
      <c r="AZ77" t="s" s="824">
        <v>327</v>
      </c>
      <c r="BA77" s="401">
        <v>12</v>
      </c>
      <c r="BB77" t="s" s="291">
        <f>TRIM(MID(SUBSTITUTE($AW$66,$BA$62,REPT(" ",LEN($AW$66))),($BA77-1)*LEN($AW$66)+1,LEN($AW$66)))</f>
      </c>
      <c r="BC77" t="s" s="291">
        <f>TRIM(MID(SUBSTITUTE($AW$67,$BA$62,REPT(" ",LEN($AW$67))),($BA77-1)*LEN($AW$67)+1,LEN($AW$67)))</f>
      </c>
      <c r="BD77" t="s" s="291">
        <f>TRIM(MID(SUBSTITUTE($AW$68,$BA$62,REPT(" ",LEN($AW$68))),($BA77-1)*LEN($AW$68)+1,LEN($AW$68)))</f>
      </c>
      <c r="BE77" t="s" s="291">
        <f>TRIM(MID(SUBSTITUTE($AW$69,$BA$62,REPT(" ",LEN($AW$69))),($BA77-1)*LEN($AW$69)+1,LEN($AW$69)))</f>
      </c>
      <c r="BF77" t="s" s="291">
        <f>TRIM(MID(SUBSTITUTE($AW$70,$BA$62,REPT(" ",LEN($AW$70))),($BA77-1)*LEN($AW$70)+1,LEN($AW$70)))</f>
      </c>
      <c r="BG77" t="s" s="291">
        <f>TRIM(MID(SUBSTITUTE($AW$71,$BA$62,REPT(" ",LEN($AW$71))),($BA77-1)*LEN($AW$71)+1,LEN($AW$71)))</f>
      </c>
      <c r="BH77" t="s" s="291">
        <f>TRIM(MID(SUBSTITUTE($AW$72,$BA$62,REPT(" ",LEN($AW$72))),($BA77-1)*LEN($AW$72)+1,LEN($AW$72)))</f>
      </c>
      <c r="BI77" t="s" s="291">
        <f>TRIM(MID(SUBSTITUTE($AW$73,$BA$62,REPT(" ",LEN($AW$73))),($BA77-1)*LEN($AW$73)+1,LEN($AW$73)))</f>
      </c>
      <c r="BJ77" t="s" s="291">
        <f>TRIM(MID(SUBSTITUTE($AW$74,$BA$62,REPT(" ",LEN($AW$74))),($BA77-1)*LEN($AW$74)+1,LEN($AW$74)))</f>
      </c>
      <c r="BK77" t="s" s="291">
        <f>TRIM(MID(SUBSTITUTE($AW$75,$BA$62,REPT(" ",LEN($AW$75))),($BA77-1)*LEN($AW$75)+1,LEN($AW$75)))</f>
      </c>
      <c r="BL77" t="s" s="291">
        <f>TRIM(MID(SUBSTITUTE($AW$76,$BA$62,REPT(" ",LEN($AW$76))),($BA77-1)*LEN($AW$76)+1,LEN($AW$76)))</f>
      </c>
      <c r="BM77" t="s" s="291">
        <f>TRIM(MID(SUBSTITUTE($AW$77,$BA$62,REPT(" ",LEN($AW$77))),($BA77-1)*LEN($AW$77)+1,LEN($AW$77)))</f>
      </c>
      <c r="BN77" t="s" s="291">
        <f>TRIM(MID(SUBSTITUTE($AW$78,$BA$62,REPT(" ",LEN($AW$78))),($BA77-1)*LEN($AW$78)+1,LEN($AW$78)))</f>
      </c>
      <c r="BO77" t="s" s="291">
        <f>TRIM(MID(SUBSTITUTE($AW$79,$BA$62,REPT(" ",LEN($AW$79))),($BA77-1)*LEN($AW$79)+1,LEN($AW$79)))</f>
      </c>
      <c r="BP77" t="s" s="291">
        <f>TRIM(MID(SUBSTITUTE($AW$80,$BA$62,REPT(" ",LEN($AW$80))),($BA77-1)*LEN($AW$80)+1,LEN($AW$80)))</f>
      </c>
      <c r="BQ77" t="s" s="291">
        <f>TRIM(MID(SUBSTITUTE($AW$81,$BA$62,REPT(" ",LEN($AW$81))),($BA77-1)*LEN($AW$81)+1,LEN($AW$81)))</f>
      </c>
      <c r="BR77" t="s" s="291">
        <f>TRIM(MID(SUBSTITUTE($AW$82,$BA$62,REPT(" ",LEN($AW$82))),($BA77-1)*LEN($AW$82)+1,LEN($AW$82)))</f>
      </c>
      <c r="BS77" t="s" s="291">
        <f>TRIM(MID(SUBSTITUTE($AW$83,$BA$62,REPT(" ",LEN($AW$83))),($BA77-1)*LEN($AW$83)+1,LEN($AW$83)))</f>
      </c>
      <c r="BT77" t="s" s="291">
        <f>TRIM(MID(SUBSTITUTE($AW$84,$BA$62,REPT(" ",LEN($AW$84))),($BA77-1)*LEN($AW$84)+1,LEN($AW$84)))</f>
      </c>
      <c r="BU77" t="s" s="313">
        <f>TRIM(MID(SUBSTITUTE($AW$85,$BA$62,REPT(" ",LEN($AW$85))),($BA77-1)*LEN($AW$85)+1,LEN($AW$85)))</f>
      </c>
      <c r="BV77" t="s" s="285">
        <f>IF(BX77=0,"",CONCATENATE(BW77,"66:",BW77,BX77+65))</f>
      </c>
      <c r="BW77" t="s" s="291">
        <v>235</v>
      </c>
      <c r="BX77" s="518">
        <f>BM64</f>
        <v>0</v>
      </c>
    </row>
    <row r="78" ht="15.75" customHeight="1">
      <c r="A78" s="379"/>
      <c r="B78" s="296">
        <v>13</v>
      </c>
      <c r="C78" t="s" s="519">
        <f>IF(D78="","",C23)</f>
      </c>
      <c r="D78" t="s" s="520">
        <f>IF(OR(K23="",K23=0),"",D23)</f>
      </c>
      <c r="E78" t="s" s="521">
        <f>IF(AX78="","",AX78)</f>
      </c>
      <c r="F78" s="314"/>
      <c r="G78" s="315"/>
      <c r="H78" s="501"/>
      <c r="I78" t="s" s="503">
        <f>IF(OR(K23="",K23=0),"",K23)</f>
      </c>
      <c r="J78" t="s" s="825">
        <f>IF(F78="","",VLOOKUP(F78,'10. Condition and Temporal'!$B$6:$F$103,5,FALSE))</f>
      </c>
      <c r="K78" s="504"/>
      <c r="L78" t="s" s="418">
        <f>_xlfn.IFERROR(IF(D78="","",IF(AX78="Distinctiveness",(((((I78*AH78*AJ78*AY78)-(I78*V78*X78))*(AV78*AT78))+(I78*V78*X78))*AP78)/1000,((((I78*AH78*AJ78*AY78)-(I78*V78*X78*AJ23))*(AV78*AR78))+(I78*V78*X78*AJ23))*AP78/1000)),"This intervention is not permitted within the SSM ▲")</f>
      </c>
      <c r="M78" t="s" s="311">
        <f>_xlfn.IFERROR(IF(F78="","",L78-AD78),"Error ▲")</f>
      </c>
      <c r="N78" s="414"/>
      <c r="O78" s="415"/>
      <c r="P78" s="315"/>
      <c r="Q78" s="380"/>
      <c r="R78" s="219"/>
      <c r="S78" s="381"/>
      <c r="T78" t="s" s="295">
        <f>IF(D78="","",K23)</f>
      </c>
      <c r="U78" t="s" s="285">
        <f>IF($D78="","",T23)</f>
      </c>
      <c r="V78" t="s" s="313">
        <f>IF($D78="","",V23)</f>
      </c>
      <c r="W78" t="s" s="295">
        <f>IF($D78="","",W23)</f>
      </c>
      <c r="X78" t="s" s="285">
        <f>IF($D78="","",X23)</f>
      </c>
      <c r="Y78" s="511"/>
      <c r="Z78" s="511"/>
      <c r="AA78" s="511"/>
      <c r="AB78" t="s" s="313">
        <f>IF($D78="","",AB23)</f>
      </c>
      <c r="AC78" t="s" s="285">
        <f>IF($D78="","",AD23)</f>
      </c>
      <c r="AD78" t="s" s="313">
        <f>IF(AC78="","",((T78*V78*X78)*AC78*AJ23)/1000)</f>
      </c>
      <c r="AE78" t="s" s="295">
        <f>IF(AD78="","",IF(AH78&lt;V78,"Not Acceptable","Acceptable"))</f>
      </c>
      <c r="AF78" t="s" s="295">
        <f>IF(D78="","",I78)</f>
      </c>
      <c r="AG78" t="s" s="285">
        <f>IF(D78="","",VLOOKUP(F78,'9. All Habitats + Multipliers'!$C$4:$K$102,5,FALSE))</f>
      </c>
      <c r="AH78" t="s" s="313">
        <f>IF(AG78="","",VLOOKUP(AG78,'11. Lists'!$B$47:$D$49,2,FALSE))</f>
      </c>
      <c r="AI78" t="s" s="285">
        <f>IF(D78="","",J78)</f>
      </c>
      <c r="AJ78" t="s" s="291">
        <f>IF(AI78="","",VLOOKUP(AI78,'11. Lists'!$F$47:$G$51,2,FALSE))</f>
      </c>
      <c r="AK78" s="511"/>
      <c r="AL78" s="511"/>
      <c r="AM78" s="511"/>
      <c r="AN78" t="s" s="291">
        <f>IF(H78="","",H78)</f>
      </c>
      <c r="AO78" t="s" s="291">
        <f>IF(AN78="","",VLOOKUP(AN78,'11. Lists'!$F$36:$H$38,2,FALSE))</f>
      </c>
      <c r="AP78" t="s" s="313">
        <f>IF(AN78="","",VLOOKUP(AN78,'11. Lists'!$F$36:$H$38,3,FALSE))</f>
      </c>
      <c r="AQ78" t="s" s="285">
        <f>IF(D78="","",IF(AX78="Distinctiveness","N/A",VLOOKUP(F78,'10. Condition and Temporal'!$B$6:$L$103,11,FALSE)))</f>
      </c>
      <c r="AR78" t="s" s="313">
        <f>IF(AQ78="","",IF(AQ78="N/A","1",VLOOKUP(AQ78,'11. Lists'!$I$47:$K$80,3,FALSE)))</f>
      </c>
      <c r="AS78" t="s" s="285">
        <f>IF(D78="","",IF(AX78="Condition","N/A",VLOOKUP(F78,'10. Condition and Temporal'!$B$6:$M$106,12,FALSE)))</f>
      </c>
      <c r="AT78" t="s" s="313">
        <f>IF(AS78="","",IF(AS78="N/A","1",VLOOKUP(AS78,'11. Lists'!$I$47:$K$80,3,FALSE)))</f>
      </c>
      <c r="AU78" t="s" s="285">
        <f>IF(D78="","",VLOOKUP(F78,'9. All Habitats + Multipliers'!$C$4:$K$102,8,FALSE))</f>
      </c>
      <c r="AV78" t="s" s="313">
        <f>IF(AU78="","",VLOOKUP(AU78,'11. Lists'!$J$35:$K$38,2,FALSE))</f>
      </c>
      <c r="AW78" t="s" s="285">
        <f>IF(D78="","",VLOOKUP(D78,'10. Condition and Temporal'!$B$6:$M$103,4,FALSE))</f>
      </c>
      <c r="AX78" t="s" s="313">
        <f>IF(F78="","",IF(D78=F78,"Condition","Distinctiveness"))</f>
      </c>
      <c r="AY78" t="s" s="813">
        <v>327</v>
      </c>
      <c r="AZ78" t="s" s="824">
        <v>327</v>
      </c>
      <c r="BA78" s="401">
        <v>13</v>
      </c>
      <c r="BB78" t="s" s="291">
        <f>TRIM(MID(SUBSTITUTE($AW$66,$BA$62,REPT(" ",LEN($AW$66))),($BA78-1)*LEN($AW$66)+1,LEN($AW$66)))</f>
      </c>
      <c r="BC78" t="s" s="291">
        <f>TRIM(MID(SUBSTITUTE($AW$67,$BA$62,REPT(" ",LEN($AW$67))),($BA78-1)*LEN($AW$67)+1,LEN($AW$67)))</f>
      </c>
      <c r="BD78" t="s" s="291">
        <f>TRIM(MID(SUBSTITUTE($AW$68,$BA$62,REPT(" ",LEN($AW$68))),($BA78-1)*LEN($AW$68)+1,LEN($AW$68)))</f>
      </c>
      <c r="BE78" t="s" s="291">
        <f>TRIM(MID(SUBSTITUTE($AW$69,$BA$62,REPT(" ",LEN($AW$69))),($BA78-1)*LEN($AW$69)+1,LEN($AW$69)))</f>
      </c>
      <c r="BF78" t="s" s="291">
        <f>TRIM(MID(SUBSTITUTE($AW$70,$BA$62,REPT(" ",LEN($AW$70))),($BA78-1)*LEN($AW$70)+1,LEN($AW$70)))</f>
      </c>
      <c r="BG78" t="s" s="291">
        <f>TRIM(MID(SUBSTITUTE($AW$71,$BA$62,REPT(" ",LEN($AW$71))),($BA78-1)*LEN($AW$71)+1,LEN($AW$71)))</f>
      </c>
      <c r="BH78" t="s" s="291">
        <f>TRIM(MID(SUBSTITUTE($AW$72,$BA$62,REPT(" ",LEN($AW$72))),($BA78-1)*LEN($AW$72)+1,LEN($AW$72)))</f>
      </c>
      <c r="BI78" t="s" s="291">
        <f>TRIM(MID(SUBSTITUTE($AW$73,$BA$62,REPT(" ",LEN($AW$73))),($BA78-1)*LEN($AW$73)+1,LEN($AW$73)))</f>
      </c>
      <c r="BJ78" t="s" s="291">
        <f>TRIM(MID(SUBSTITUTE($AW$74,$BA$62,REPT(" ",LEN($AW$74))),($BA78-1)*LEN($AW$74)+1,LEN($AW$74)))</f>
      </c>
      <c r="BK78" t="s" s="291">
        <f>TRIM(MID(SUBSTITUTE($AW$75,$BA$62,REPT(" ",LEN($AW$75))),($BA78-1)*LEN($AW$75)+1,LEN($AW$75)))</f>
      </c>
      <c r="BL78" t="s" s="291">
        <f>TRIM(MID(SUBSTITUTE($AW$76,$BA$62,REPT(" ",LEN($AW$76))),($BA78-1)*LEN($AW$76)+1,LEN($AW$76)))</f>
      </c>
      <c r="BM78" t="s" s="291">
        <f>TRIM(MID(SUBSTITUTE($AW$77,$BA$62,REPT(" ",LEN($AW$77))),($BA78-1)*LEN($AW$77)+1,LEN($AW$77)))</f>
      </c>
      <c r="BN78" t="s" s="291">
        <f>TRIM(MID(SUBSTITUTE($AW$78,$BA$62,REPT(" ",LEN($AW$78))),($BA78-1)*LEN($AW$78)+1,LEN($AW$78)))</f>
      </c>
      <c r="BO78" t="s" s="291">
        <f>TRIM(MID(SUBSTITUTE($AW$79,$BA$62,REPT(" ",LEN($AW$79))),($BA78-1)*LEN($AW$79)+1,LEN($AW$79)))</f>
      </c>
      <c r="BP78" t="s" s="291">
        <f>TRIM(MID(SUBSTITUTE($AW$80,$BA$62,REPT(" ",LEN($AW$80))),($BA78-1)*LEN($AW$80)+1,LEN($AW$80)))</f>
      </c>
      <c r="BQ78" t="s" s="291">
        <f>TRIM(MID(SUBSTITUTE($AW$81,$BA$62,REPT(" ",LEN($AW$81))),($BA78-1)*LEN($AW$81)+1,LEN($AW$81)))</f>
      </c>
      <c r="BR78" t="s" s="291">
        <f>TRIM(MID(SUBSTITUTE($AW$82,$BA$62,REPT(" ",LEN($AW$82))),($BA78-1)*LEN($AW$82)+1,LEN($AW$82)))</f>
      </c>
      <c r="BS78" t="s" s="291">
        <f>TRIM(MID(SUBSTITUTE($AW$83,$BA$62,REPT(" ",LEN($AW$83))),($BA78-1)*LEN($AW$83)+1,LEN($AW$83)))</f>
      </c>
      <c r="BT78" t="s" s="291">
        <f>TRIM(MID(SUBSTITUTE($AW$84,$BA$62,REPT(" ",LEN($AW$84))),($BA78-1)*LEN($AW$84)+1,LEN($AW$84)))</f>
      </c>
      <c r="BU78" t="s" s="313">
        <f>TRIM(MID(SUBSTITUTE($AW$85,$BA$62,REPT(" ",LEN($AW$85))),($BA78-1)*LEN($AW$85)+1,LEN($AW$85)))</f>
      </c>
      <c r="BV78" t="s" s="285">
        <f>IF(BX78=0,"",CONCATENATE(BW78,"66:",BW78,BX78+65))</f>
      </c>
      <c r="BW78" t="s" s="291">
        <v>236</v>
      </c>
      <c r="BX78" s="518">
        <f>BN64</f>
        <v>0</v>
      </c>
    </row>
    <row r="79" ht="15.6" customHeight="1">
      <c r="A79" s="379"/>
      <c r="B79" s="296">
        <v>14</v>
      </c>
      <c r="C79" t="s" s="519">
        <f>IF(D79="","",C24)</f>
      </c>
      <c r="D79" t="s" s="520">
        <f>IF(OR(K24="",K24=0),"",D24)</f>
      </c>
      <c r="E79" t="s" s="521">
        <f>IF(AX79="","",AX79)</f>
      </c>
      <c r="F79" s="314"/>
      <c r="G79" s="315"/>
      <c r="H79" s="501"/>
      <c r="I79" t="s" s="503">
        <f>IF(OR(K24="",K24=0),"",K24)</f>
      </c>
      <c r="J79" t="s" s="825">
        <f>IF(F79="","",VLOOKUP(F79,'10. Condition and Temporal'!$B$6:$F$103,5,FALSE))</f>
      </c>
      <c r="K79" s="504"/>
      <c r="L79" t="s" s="418">
        <f>_xlfn.IFERROR(IF(D79="","",IF(AX79="Distinctiveness",(((((I79*AH79*AJ79*AY79)-(I79*V79*X79))*(AV79*AT79))+(I79*V79*X79))*AP79)/1000,((((I79*AH79*AJ79*AY79)-(I79*V79*X79*AJ24))*(AV79*AR79))+(I79*V79*X79*AJ24))*AP79/1000)),"This intervention is not permitted within the SSM ▲")</f>
      </c>
      <c r="M79" t="s" s="311">
        <f>_xlfn.IFERROR(IF(F79="","",L79-AD79),"Error ▲")</f>
      </c>
      <c r="N79" s="414"/>
      <c r="O79" s="415"/>
      <c r="P79" s="315"/>
      <c r="Q79" s="380"/>
      <c r="R79" s="219"/>
      <c r="S79" s="381"/>
      <c r="T79" t="s" s="295">
        <f>IF(D79="","",K24)</f>
      </c>
      <c r="U79" t="s" s="285">
        <f>IF($D79="","",T24)</f>
      </c>
      <c r="V79" t="s" s="313">
        <f>IF($D79="","",V24)</f>
      </c>
      <c r="W79" t="s" s="295">
        <f>IF($D79="","",W24)</f>
      </c>
      <c r="X79" t="s" s="285">
        <f>IF($D79="","",X24)</f>
      </c>
      <c r="Y79" s="511"/>
      <c r="Z79" s="511"/>
      <c r="AA79" s="511"/>
      <c r="AB79" t="s" s="313">
        <f>IF($D79="","",AB24)</f>
      </c>
      <c r="AC79" t="s" s="285">
        <f>IF($D79="","",AD24)</f>
      </c>
      <c r="AD79" t="s" s="313">
        <f>IF(AC79="","",((T79*V79*X79)*AC79*AJ24)/1000)</f>
      </c>
      <c r="AE79" t="s" s="295">
        <f>IF(AD79="","",IF(AH79&lt;V79,"Not Acceptable","Acceptable"))</f>
      </c>
      <c r="AF79" t="s" s="295">
        <f>IF(D79="","",I79)</f>
      </c>
      <c r="AG79" t="s" s="285">
        <f>IF(D79="","",VLOOKUP(F79,'9. All Habitats + Multipliers'!$C$4:$K$102,5,FALSE))</f>
      </c>
      <c r="AH79" t="s" s="313">
        <f>IF(AG79="","",VLOOKUP(AG79,'11. Lists'!$B$47:$D$49,2,FALSE))</f>
      </c>
      <c r="AI79" t="s" s="285">
        <f>IF(D79="","",J79)</f>
      </c>
      <c r="AJ79" t="s" s="291">
        <f>IF(AI79="","",VLOOKUP(AI79,'11. Lists'!$F$47:$G$51,2,FALSE))</f>
      </c>
      <c r="AK79" s="511"/>
      <c r="AL79" s="511"/>
      <c r="AM79" s="511"/>
      <c r="AN79" t="s" s="291">
        <f>IF(H79="","",H79)</f>
      </c>
      <c r="AO79" t="s" s="291">
        <f>IF(AN79="","",VLOOKUP(AN79,'11. Lists'!$F$36:$H$38,2,FALSE))</f>
      </c>
      <c r="AP79" t="s" s="313">
        <f>IF(AN79="","",VLOOKUP(AN79,'11. Lists'!$F$36:$H$38,3,FALSE))</f>
      </c>
      <c r="AQ79" t="s" s="285">
        <f>IF(D79="","",IF(AX79="Distinctiveness","N/A",VLOOKUP(F79,'10. Condition and Temporal'!$B$6:$L$103,11,FALSE)))</f>
      </c>
      <c r="AR79" t="s" s="313">
        <f>IF(AQ79="","",IF(AQ79="N/A","1",VLOOKUP(AQ79,'11. Lists'!$I$47:$K$80,3,FALSE)))</f>
      </c>
      <c r="AS79" t="s" s="285">
        <f>IF(D79="","",IF(AX79="Condition","N/A",VLOOKUP(F79,'10. Condition and Temporal'!$B$6:$M$106,12,FALSE)))</f>
      </c>
      <c r="AT79" t="s" s="313">
        <f>IF(AS79="","",IF(AS79="N/A","1",VLOOKUP(AS79,'11. Lists'!$I$47:$K$80,3,FALSE)))</f>
      </c>
      <c r="AU79" t="s" s="285">
        <f>IF(D79="","",VLOOKUP(F79,'9. All Habitats + Multipliers'!$C$4:$K$102,8,FALSE))</f>
      </c>
      <c r="AV79" t="s" s="313">
        <f>IF(AU79="","",VLOOKUP(AU79,'11. Lists'!$J$35:$K$38,2,FALSE))</f>
      </c>
      <c r="AW79" t="s" s="285">
        <f>IF(D79="","",VLOOKUP(D79,'10. Condition and Temporal'!$B$6:$M$103,4,FALSE))</f>
      </c>
      <c r="AX79" t="s" s="313">
        <f>IF(F79="","",IF(D79=F79,"Condition","Distinctiveness"))</f>
      </c>
      <c r="AY79" t="s" s="813">
        <v>327</v>
      </c>
      <c r="AZ79" t="s" s="824">
        <v>327</v>
      </c>
      <c r="BA79" s="401">
        <v>14</v>
      </c>
      <c r="BB79" t="s" s="291">
        <f>TRIM(MID(SUBSTITUTE($AW$66,$BA$62,REPT(" ",LEN($AW$66))),($BA79-1)*LEN($AW$66)+1,LEN($AW$66)))</f>
      </c>
      <c r="BC79" t="s" s="291">
        <f>TRIM(MID(SUBSTITUTE($AW$67,$BA$62,REPT(" ",LEN($AW$67))),($BA79-1)*LEN($AW$67)+1,LEN($AW$67)))</f>
      </c>
      <c r="BD79" t="s" s="291">
        <f>TRIM(MID(SUBSTITUTE($AW$68,$BA$62,REPT(" ",LEN($AW$68))),($BA79-1)*LEN($AW$68)+1,LEN($AW$68)))</f>
      </c>
      <c r="BE79" t="s" s="291">
        <f>TRIM(MID(SUBSTITUTE($AW$69,$BA$62,REPT(" ",LEN($AW$69))),($BA79-1)*LEN($AW$69)+1,LEN($AW$69)))</f>
      </c>
      <c r="BF79" t="s" s="291">
        <f>TRIM(MID(SUBSTITUTE($AW$70,$BA$62,REPT(" ",LEN($AW$70))),($BA79-1)*LEN($AW$70)+1,LEN($AW$70)))</f>
      </c>
      <c r="BG79" t="s" s="291">
        <f>TRIM(MID(SUBSTITUTE($AW$71,$BA$62,REPT(" ",LEN($AW$71))),($BA79-1)*LEN($AW$71)+1,LEN($AW$71)))</f>
      </c>
      <c r="BH79" t="s" s="291">
        <f>TRIM(MID(SUBSTITUTE($AW$72,$BA$62,REPT(" ",LEN($AW$72))),($BA79-1)*LEN($AW$72)+1,LEN($AW$72)))</f>
      </c>
      <c r="BI79" t="s" s="291">
        <f>TRIM(MID(SUBSTITUTE($AW$73,$BA$62,REPT(" ",LEN($AW$73))),($BA79-1)*LEN($AW$73)+1,LEN($AW$73)))</f>
      </c>
      <c r="BJ79" t="s" s="291">
        <f>TRIM(MID(SUBSTITUTE($AW$74,$BA$62,REPT(" ",LEN($AW$74))),($BA79-1)*LEN($AW$74)+1,LEN($AW$74)))</f>
      </c>
      <c r="BK79" t="s" s="291">
        <f>TRIM(MID(SUBSTITUTE($AW$75,$BA$62,REPT(" ",LEN($AW$75))),($BA79-1)*LEN($AW$75)+1,LEN($AW$75)))</f>
      </c>
      <c r="BL79" t="s" s="291">
        <f>TRIM(MID(SUBSTITUTE($AW$76,$BA$62,REPT(" ",LEN($AW$76))),($BA79-1)*LEN($AW$76)+1,LEN($AW$76)))</f>
      </c>
      <c r="BM79" t="s" s="291">
        <f>TRIM(MID(SUBSTITUTE($AW$77,$BA$62,REPT(" ",LEN($AW$77))),($BA79-1)*LEN($AW$77)+1,LEN($AW$77)))</f>
      </c>
      <c r="BN79" t="s" s="291">
        <f>TRIM(MID(SUBSTITUTE($AW$78,$BA$62,REPT(" ",LEN($AW$78))),($BA79-1)*LEN($AW$78)+1,LEN($AW$78)))</f>
      </c>
      <c r="BO79" t="s" s="291">
        <f>TRIM(MID(SUBSTITUTE($AW$79,$BA$62,REPT(" ",LEN($AW$79))),($BA79-1)*LEN($AW$79)+1,LEN($AW$79)))</f>
      </c>
      <c r="BP79" t="s" s="291">
        <f>TRIM(MID(SUBSTITUTE($AW$80,$BA$62,REPT(" ",LEN($AW$80))),($BA79-1)*LEN($AW$80)+1,LEN($AW$80)))</f>
      </c>
      <c r="BQ79" t="s" s="291">
        <f>TRIM(MID(SUBSTITUTE($AW$81,$BA$62,REPT(" ",LEN($AW$81))),($BA79-1)*LEN($AW$81)+1,LEN($AW$81)))</f>
      </c>
      <c r="BR79" t="s" s="291">
        <f>TRIM(MID(SUBSTITUTE($AW$82,$BA$62,REPT(" ",LEN($AW$82))),($BA79-1)*LEN($AW$82)+1,LEN($AW$82)))</f>
      </c>
      <c r="BS79" t="s" s="291">
        <f>TRIM(MID(SUBSTITUTE($AW$83,$BA$62,REPT(" ",LEN($AW$83))),($BA79-1)*LEN($AW$83)+1,LEN($AW$83)))</f>
      </c>
      <c r="BT79" t="s" s="291">
        <f>TRIM(MID(SUBSTITUTE($AW$84,$BA$62,REPT(" ",LEN($AW$84))),($BA79-1)*LEN($AW$84)+1,LEN($AW$84)))</f>
      </c>
      <c r="BU79" t="s" s="313">
        <f>TRIM(MID(SUBSTITUTE($AW$85,$BA$62,REPT(" ",LEN($AW$85))),($BA79-1)*LEN($AW$85)+1,LEN($AW$85)))</f>
      </c>
      <c r="BV79" t="s" s="285">
        <f>IF(BX79=0,"",CONCATENATE(BW79,"66:",BW79,BX79+65))</f>
      </c>
      <c r="BW79" t="s" s="291">
        <v>237</v>
      </c>
      <c r="BX79" s="518">
        <f>BO64</f>
        <v>0</v>
      </c>
    </row>
    <row r="80" ht="15.75" customHeight="1">
      <c r="A80" s="379"/>
      <c r="B80" s="296">
        <v>15</v>
      </c>
      <c r="C80" t="s" s="519">
        <f>IF(D80="","",C25)</f>
      </c>
      <c r="D80" t="s" s="520">
        <f>IF(OR(K25="",K25=0),"",D25)</f>
      </c>
      <c r="E80" t="s" s="521">
        <f>IF(AX80="","",AX80)</f>
      </c>
      <c r="F80" s="314"/>
      <c r="G80" s="315"/>
      <c r="H80" s="501"/>
      <c r="I80" t="s" s="503">
        <f>IF(OR(K25="",K25=0),"",K25)</f>
      </c>
      <c r="J80" t="s" s="825">
        <f>IF(F80="","",VLOOKUP(F80,'10. Condition and Temporal'!$B$6:$F$103,5,FALSE))</f>
      </c>
      <c r="K80" s="504"/>
      <c r="L80" t="s" s="418">
        <f>_xlfn.IFERROR(IF(D80="","",IF(AX80="Distinctiveness",(((((I80*AH80*AJ80*AY80)-(I80*V80*X80))*(AV80*AT80))+(I80*V80*X80))*AP80)/1000,((((I80*AH80*AJ80*AY80)-(I80*V80*X80*AJ25))*(AV80*AR80))+(I80*V80*X80*AJ25))*AP80/1000)),"This intervention is not permitted within the SSM ▲")</f>
      </c>
      <c r="M80" t="s" s="311">
        <f>_xlfn.IFERROR(IF(F80="","",L80-AD80),"Error ▲")</f>
      </c>
      <c r="N80" s="414"/>
      <c r="O80" s="415"/>
      <c r="P80" s="315"/>
      <c r="Q80" s="380"/>
      <c r="R80" s="219"/>
      <c r="S80" s="381"/>
      <c r="T80" t="s" s="295">
        <f>IF(D80="","",K25)</f>
      </c>
      <c r="U80" t="s" s="285">
        <f>IF($D80="","",T25)</f>
      </c>
      <c r="V80" t="s" s="313">
        <f>IF($D80="","",V25)</f>
      </c>
      <c r="W80" t="s" s="295">
        <f>IF($D80="","",W25)</f>
      </c>
      <c r="X80" t="s" s="285">
        <f>IF($D80="","",X25)</f>
      </c>
      <c r="Y80" s="511"/>
      <c r="Z80" s="511"/>
      <c r="AA80" s="511"/>
      <c r="AB80" t="s" s="313">
        <f>IF($D80="","",AB25)</f>
      </c>
      <c r="AC80" t="s" s="285">
        <f>IF($D80="","",AD25)</f>
      </c>
      <c r="AD80" t="s" s="313">
        <f>IF(AC80="","",((T80*V80*X80)*AC80*AJ25)/1000)</f>
      </c>
      <c r="AE80" t="s" s="295">
        <f>IF(AD80="","",IF(AH80&lt;V80,"Not Acceptable","Acceptable"))</f>
      </c>
      <c r="AF80" t="s" s="295">
        <f>IF(D80="","",I80)</f>
      </c>
      <c r="AG80" t="s" s="285">
        <f>IF(D80="","",VLOOKUP(F80,'9. All Habitats + Multipliers'!$C$4:$K$102,5,FALSE))</f>
      </c>
      <c r="AH80" t="s" s="313">
        <f>IF(AG80="","",VLOOKUP(AG80,'11. Lists'!$B$47:$D$49,2,FALSE))</f>
      </c>
      <c r="AI80" t="s" s="285">
        <f>IF(D80="","",J80)</f>
      </c>
      <c r="AJ80" t="s" s="291">
        <f>IF(AI80="","",VLOOKUP(AI80,'11. Lists'!$F$47:$G$51,2,FALSE))</f>
      </c>
      <c r="AK80" s="511"/>
      <c r="AL80" s="511"/>
      <c r="AM80" s="511"/>
      <c r="AN80" t="s" s="291">
        <f>IF(H80="","",H80)</f>
      </c>
      <c r="AO80" t="s" s="291">
        <f>IF(AN80="","",VLOOKUP(AN80,'11. Lists'!$F$36:$H$38,2,FALSE))</f>
      </c>
      <c r="AP80" t="s" s="313">
        <f>IF(AN80="","",VLOOKUP(AN80,'11. Lists'!$F$36:$H$38,3,FALSE))</f>
      </c>
      <c r="AQ80" t="s" s="285">
        <f>IF(D80="","",IF(AX80="Distinctiveness","N/A",VLOOKUP(F80,'10. Condition and Temporal'!$B$6:$L$103,11,FALSE)))</f>
      </c>
      <c r="AR80" t="s" s="313">
        <f>IF(AQ80="","",IF(AQ80="N/A","1",VLOOKUP(AQ80,'11. Lists'!$I$47:$K$80,3,FALSE)))</f>
      </c>
      <c r="AS80" t="s" s="285">
        <f>IF(D80="","",IF(AX80="Condition","N/A",VLOOKUP(F80,'10. Condition and Temporal'!$B$6:$M$106,12,FALSE)))</f>
      </c>
      <c r="AT80" t="s" s="313">
        <f>IF(AS80="","",IF(AS80="N/A","1",VLOOKUP(AS80,'11. Lists'!$I$47:$K$80,3,FALSE)))</f>
      </c>
      <c r="AU80" t="s" s="285">
        <f>IF(D80="","",VLOOKUP(F80,'9. All Habitats + Multipliers'!$C$4:$K$102,8,FALSE))</f>
      </c>
      <c r="AV80" t="s" s="313">
        <f>IF(AU80="","",VLOOKUP(AU80,'11. Lists'!$J$35:$K$38,2,FALSE))</f>
      </c>
      <c r="AW80" t="s" s="285">
        <f>IF(D80="","",VLOOKUP(D80,'10. Condition and Temporal'!$B$6:$M$103,4,FALSE))</f>
      </c>
      <c r="AX80" t="s" s="313">
        <f>IF(F80="","",IF(D80=F80,"Condition","Distinctiveness"))</f>
      </c>
      <c r="AY80" t="s" s="813">
        <v>327</v>
      </c>
      <c r="AZ80" t="s" s="824">
        <v>327</v>
      </c>
      <c r="BA80" s="401">
        <v>15</v>
      </c>
      <c r="BB80" t="s" s="291">
        <f>TRIM(MID(SUBSTITUTE($AW$66,$BA$62,REPT(" ",LEN($AW$66))),($BA80-1)*LEN($AW$66)+1,LEN($AW$66)))</f>
      </c>
      <c r="BC80" t="s" s="291">
        <f>TRIM(MID(SUBSTITUTE($AW$67,$BA$62,REPT(" ",LEN($AW$67))),($BA80-1)*LEN($AW$67)+1,LEN($AW$67)))</f>
      </c>
      <c r="BD80" t="s" s="291">
        <f>TRIM(MID(SUBSTITUTE($AW$68,$BA$62,REPT(" ",LEN($AW$68))),($BA80-1)*LEN($AW$68)+1,LEN($AW$68)))</f>
      </c>
      <c r="BE80" t="s" s="291">
        <f>TRIM(MID(SUBSTITUTE($AW$69,$BA$62,REPT(" ",LEN($AW$69))),($BA80-1)*LEN($AW$69)+1,LEN($AW$69)))</f>
      </c>
      <c r="BF80" t="s" s="291">
        <f>TRIM(MID(SUBSTITUTE($AW$70,$BA$62,REPT(" ",LEN($AW$70))),($BA80-1)*LEN($AW$70)+1,LEN($AW$70)))</f>
      </c>
      <c r="BG80" t="s" s="291">
        <f>TRIM(MID(SUBSTITUTE($AW$71,$BA$62,REPT(" ",LEN($AW$71))),($BA80-1)*LEN($AW$71)+1,LEN($AW$71)))</f>
      </c>
      <c r="BH80" t="s" s="291">
        <f>TRIM(MID(SUBSTITUTE($AW$72,$BA$62,REPT(" ",LEN($AW$72))),($BA80-1)*LEN($AW$72)+1,LEN($AW$72)))</f>
      </c>
      <c r="BI80" t="s" s="291">
        <f>TRIM(MID(SUBSTITUTE($AW$73,$BA$62,REPT(" ",LEN($AW$73))),($BA80-1)*LEN($AW$73)+1,LEN($AW$73)))</f>
      </c>
      <c r="BJ80" t="s" s="291">
        <f>TRIM(MID(SUBSTITUTE($AW$74,$BA$62,REPT(" ",LEN($AW$74))),($BA80-1)*LEN($AW$74)+1,LEN($AW$74)))</f>
      </c>
      <c r="BK80" t="s" s="291">
        <f>TRIM(MID(SUBSTITUTE($AW$75,$BA$62,REPT(" ",LEN($AW$75))),($BA80-1)*LEN($AW$75)+1,LEN($AW$75)))</f>
      </c>
      <c r="BL80" t="s" s="291">
        <f>TRIM(MID(SUBSTITUTE($AW$76,$BA$62,REPT(" ",LEN($AW$76))),($BA80-1)*LEN($AW$76)+1,LEN($AW$76)))</f>
      </c>
      <c r="BM80" t="s" s="291">
        <f>TRIM(MID(SUBSTITUTE($AW$77,$BA$62,REPT(" ",LEN($AW$77))),($BA80-1)*LEN($AW$77)+1,LEN($AW$77)))</f>
      </c>
      <c r="BN80" t="s" s="291">
        <f>TRIM(MID(SUBSTITUTE($AW$78,$BA$62,REPT(" ",LEN($AW$78))),($BA80-1)*LEN($AW$78)+1,LEN($AW$78)))</f>
      </c>
      <c r="BO80" t="s" s="291">
        <f>TRIM(MID(SUBSTITUTE($AW$79,$BA$62,REPT(" ",LEN($AW$79))),($BA80-1)*LEN($AW$79)+1,LEN($AW$79)))</f>
      </c>
      <c r="BP80" t="s" s="291">
        <f>TRIM(MID(SUBSTITUTE($AW$80,$BA$62,REPT(" ",LEN($AW$80))),($BA80-1)*LEN($AW$80)+1,LEN($AW$80)))</f>
      </c>
      <c r="BQ80" t="s" s="291">
        <f>TRIM(MID(SUBSTITUTE($AW$81,$BA$62,REPT(" ",LEN($AW$81))),($BA80-1)*LEN($AW$81)+1,LEN($AW$81)))</f>
      </c>
      <c r="BR80" t="s" s="291">
        <f>TRIM(MID(SUBSTITUTE($AW$82,$BA$62,REPT(" ",LEN($AW$82))),($BA80-1)*LEN($AW$82)+1,LEN($AW$82)))</f>
      </c>
      <c r="BS80" t="s" s="291">
        <f>TRIM(MID(SUBSTITUTE($AW$83,$BA$62,REPT(" ",LEN($AW$83))),($BA80-1)*LEN($AW$83)+1,LEN($AW$83)))</f>
      </c>
      <c r="BT80" t="s" s="291">
        <f>TRIM(MID(SUBSTITUTE($AW$84,$BA$62,REPT(" ",LEN($AW$84))),($BA80-1)*LEN($AW$84)+1,LEN($AW$84)))</f>
      </c>
      <c r="BU80" t="s" s="313">
        <f>TRIM(MID(SUBSTITUTE($AW$85,$BA$62,REPT(" ",LEN($AW$85))),($BA80-1)*LEN($AW$85)+1,LEN($AW$85)))</f>
      </c>
      <c r="BV80" t="s" s="285">
        <f>IF(BX80=0,"",CONCATENATE(BW80,"66:",BW80,BX80+65))</f>
      </c>
      <c r="BW80" t="s" s="291">
        <v>238</v>
      </c>
      <c r="BX80" s="518">
        <f>BP64</f>
        <v>0</v>
      </c>
    </row>
    <row r="81" ht="15.75" customHeight="1">
      <c r="A81" s="379"/>
      <c r="B81" s="296">
        <v>16</v>
      </c>
      <c r="C81" t="s" s="519">
        <f>IF(D81="","",C26)</f>
      </c>
      <c r="D81" t="s" s="520">
        <f>IF(OR(K26="",K26=0),"",D26)</f>
      </c>
      <c r="E81" t="s" s="521">
        <f>IF(AX81="","",AX81)</f>
      </c>
      <c r="F81" s="314"/>
      <c r="G81" s="315"/>
      <c r="H81" s="501"/>
      <c r="I81" t="s" s="503">
        <f>IF(OR(K26="",K26=0),"",K26)</f>
      </c>
      <c r="J81" t="s" s="825">
        <f>IF(F81="","",VLOOKUP(F81,'10. Condition and Temporal'!$B$6:$F$103,5,FALSE))</f>
      </c>
      <c r="K81" s="504"/>
      <c r="L81" t="s" s="418">
        <f>_xlfn.IFERROR(IF(D81="","",IF(AX81="Distinctiveness",(((((I81*AH81*AJ81*AY81)-(I81*V81*X81))*(AV81*AT81))+(I81*V81*X81))*AP81)/1000,((((I81*AH81*AJ81*AY81)-(I81*V81*X81*AJ26))*(AV81*AR81))+(I81*V81*X81*AJ26))*AP81/1000)),"This intervention is not permitted within the SSM ▲")</f>
      </c>
      <c r="M81" t="s" s="311">
        <f>_xlfn.IFERROR(IF(F81="","",L81-AD81),"Error ▲")</f>
      </c>
      <c r="N81" s="414"/>
      <c r="O81" s="415"/>
      <c r="P81" s="315"/>
      <c r="Q81" s="380"/>
      <c r="R81" s="219"/>
      <c r="S81" s="381"/>
      <c r="T81" t="s" s="295">
        <f>IF(D81="","",K26)</f>
      </c>
      <c r="U81" t="s" s="285">
        <f>IF($D81="","",T26)</f>
      </c>
      <c r="V81" t="s" s="313">
        <f>IF($D81="","",V26)</f>
      </c>
      <c r="W81" t="s" s="295">
        <f>IF($D81="","",W26)</f>
      </c>
      <c r="X81" t="s" s="285">
        <f>IF($D81="","",X26)</f>
      </c>
      <c r="Y81" s="511"/>
      <c r="Z81" s="511"/>
      <c r="AA81" s="511"/>
      <c r="AB81" t="s" s="313">
        <f>IF($D81="","",AB26)</f>
      </c>
      <c r="AC81" t="s" s="285">
        <f>IF($D81="","",AD26)</f>
      </c>
      <c r="AD81" t="s" s="313">
        <f>IF(AC81="","",((T81*V81*X81)*AC81*AJ26)/1000)</f>
      </c>
      <c r="AE81" t="s" s="295">
        <f>IF(AD81="","",IF(AH81&lt;V81,"Not Acceptable","Acceptable"))</f>
      </c>
      <c r="AF81" t="s" s="295">
        <f>IF(D81="","",I81)</f>
      </c>
      <c r="AG81" t="s" s="285">
        <f>IF(D81="","",VLOOKUP(F81,'9. All Habitats + Multipliers'!$C$4:$K$102,5,FALSE))</f>
      </c>
      <c r="AH81" t="s" s="313">
        <f>IF(AG81="","",VLOOKUP(AG81,'11. Lists'!$B$47:$D$49,2,FALSE))</f>
      </c>
      <c r="AI81" t="s" s="285">
        <f>IF(D81="","",J81)</f>
      </c>
      <c r="AJ81" t="s" s="291">
        <f>IF(AI81="","",VLOOKUP(AI81,'11. Lists'!$F$47:$G$51,2,FALSE))</f>
      </c>
      <c r="AK81" s="511"/>
      <c r="AL81" s="511"/>
      <c r="AM81" s="511"/>
      <c r="AN81" t="s" s="291">
        <f>IF(H81="","",H81)</f>
      </c>
      <c r="AO81" t="s" s="291">
        <f>IF(AN81="","",VLOOKUP(AN81,'11. Lists'!$F$36:$H$38,2,FALSE))</f>
      </c>
      <c r="AP81" t="s" s="313">
        <f>IF(AN81="","",VLOOKUP(AN81,'11. Lists'!$F$36:$H$38,3,FALSE))</f>
      </c>
      <c r="AQ81" t="s" s="285">
        <f>IF(D81="","",IF(AX81="Distinctiveness","N/A",VLOOKUP(F81,'10. Condition and Temporal'!$B$6:$L$103,11,FALSE)))</f>
      </c>
      <c r="AR81" t="s" s="313">
        <f>IF(AQ81="","",IF(AQ81="N/A","1",VLOOKUP(AQ81,'11. Lists'!$I$47:$K$80,3,FALSE)))</f>
      </c>
      <c r="AS81" t="s" s="285">
        <f>IF(D81="","",IF(AX81="Condition","N/A",VLOOKUP(F81,'10. Condition and Temporal'!$B$6:$M$106,12,FALSE)))</f>
      </c>
      <c r="AT81" t="s" s="313">
        <f>IF(AS81="","",IF(AS81="N/A","1",VLOOKUP(AS81,'11. Lists'!$I$47:$K$80,3,FALSE)))</f>
      </c>
      <c r="AU81" t="s" s="285">
        <f>IF(D81="","",VLOOKUP(F81,'9. All Habitats + Multipliers'!$C$4:$K$102,8,FALSE))</f>
      </c>
      <c r="AV81" t="s" s="313">
        <f>IF(AU81="","",VLOOKUP(AU81,'11. Lists'!$J$35:$K$38,2,FALSE))</f>
      </c>
      <c r="AW81" t="s" s="285">
        <f>IF(D81="","",VLOOKUP(D81,'10. Condition and Temporal'!$B$6:$M$103,4,FALSE))</f>
      </c>
      <c r="AX81" t="s" s="313">
        <f>IF(F81="","",IF(D81=F81,"Condition","Distinctiveness"))</f>
      </c>
      <c r="AY81" t="s" s="813">
        <v>327</v>
      </c>
      <c r="AZ81" t="s" s="824">
        <v>327</v>
      </c>
      <c r="BA81" s="401">
        <v>16</v>
      </c>
      <c r="BB81" t="s" s="291">
        <f>TRIM(MID(SUBSTITUTE($AW$66,$BA$62,REPT(" ",LEN($AW$66))),($BA81-1)*LEN($AW$66)+1,LEN($AW$66)))</f>
      </c>
      <c r="BC81" t="s" s="291">
        <f>TRIM(MID(SUBSTITUTE($AW$67,$BA$62,REPT(" ",LEN($AW$67))),($BA81-1)*LEN($AW$67)+1,LEN($AW$67)))</f>
      </c>
      <c r="BD81" t="s" s="291">
        <f>TRIM(MID(SUBSTITUTE($AW$68,$BA$62,REPT(" ",LEN($AW$68))),($BA81-1)*LEN($AW$68)+1,LEN($AW$68)))</f>
      </c>
      <c r="BE81" t="s" s="291">
        <f>TRIM(MID(SUBSTITUTE($AW$69,$BA$62,REPT(" ",LEN($AW$69))),($BA81-1)*LEN($AW$69)+1,LEN($AW$69)))</f>
      </c>
      <c r="BF81" t="s" s="291">
        <f>TRIM(MID(SUBSTITUTE($AW$70,$BA$62,REPT(" ",LEN($AW$70))),($BA81-1)*LEN($AW$70)+1,LEN($AW$70)))</f>
      </c>
      <c r="BG81" t="s" s="291">
        <f>TRIM(MID(SUBSTITUTE($AW$71,$BA$62,REPT(" ",LEN($AW$71))),($BA81-1)*LEN($AW$71)+1,LEN($AW$71)))</f>
      </c>
      <c r="BH81" t="s" s="291">
        <f>TRIM(MID(SUBSTITUTE($AW$72,$BA$62,REPT(" ",LEN($AW$72))),($BA81-1)*LEN($AW$72)+1,LEN($AW$72)))</f>
      </c>
      <c r="BI81" t="s" s="291">
        <f>TRIM(MID(SUBSTITUTE($AW$73,$BA$62,REPT(" ",LEN($AW$73))),($BA81-1)*LEN($AW$73)+1,LEN($AW$73)))</f>
      </c>
      <c r="BJ81" t="s" s="291">
        <f>TRIM(MID(SUBSTITUTE($AW$74,$BA$62,REPT(" ",LEN($AW$74))),($BA81-1)*LEN($AW$74)+1,LEN($AW$74)))</f>
      </c>
      <c r="BK81" t="s" s="291">
        <f>TRIM(MID(SUBSTITUTE($AW$75,$BA$62,REPT(" ",LEN($AW$75))),($BA81-1)*LEN($AW$75)+1,LEN($AW$75)))</f>
      </c>
      <c r="BL81" t="s" s="291">
        <f>TRIM(MID(SUBSTITUTE($AW$76,$BA$62,REPT(" ",LEN($AW$76))),($BA81-1)*LEN($AW$76)+1,LEN($AW$76)))</f>
      </c>
      <c r="BM81" t="s" s="291">
        <f>TRIM(MID(SUBSTITUTE($AW$77,$BA$62,REPT(" ",LEN($AW$77))),($BA81-1)*LEN($AW$77)+1,LEN($AW$77)))</f>
      </c>
      <c r="BN81" t="s" s="291">
        <f>TRIM(MID(SUBSTITUTE($AW$78,$BA$62,REPT(" ",LEN($AW$78))),($BA81-1)*LEN($AW$78)+1,LEN($AW$78)))</f>
      </c>
      <c r="BO81" t="s" s="291">
        <f>TRIM(MID(SUBSTITUTE($AW$79,$BA$62,REPT(" ",LEN($AW$79))),($BA81-1)*LEN($AW$79)+1,LEN($AW$79)))</f>
      </c>
      <c r="BP81" t="s" s="291">
        <f>TRIM(MID(SUBSTITUTE($AW$80,$BA$62,REPT(" ",LEN($AW$80))),($BA81-1)*LEN($AW$80)+1,LEN($AW$80)))</f>
      </c>
      <c r="BQ81" t="s" s="291">
        <f>TRIM(MID(SUBSTITUTE($AW$81,$BA$62,REPT(" ",LEN($AW$81))),($BA81-1)*LEN($AW$81)+1,LEN($AW$81)))</f>
      </c>
      <c r="BR81" t="s" s="291">
        <f>TRIM(MID(SUBSTITUTE($AW$82,$BA$62,REPT(" ",LEN($AW$82))),($BA81-1)*LEN($AW$82)+1,LEN($AW$82)))</f>
      </c>
      <c r="BS81" t="s" s="291">
        <f>TRIM(MID(SUBSTITUTE($AW$83,$BA$62,REPT(" ",LEN($AW$83))),($BA81-1)*LEN($AW$83)+1,LEN($AW$83)))</f>
      </c>
      <c r="BT81" t="s" s="291">
        <f>TRIM(MID(SUBSTITUTE($AW$84,$BA$62,REPT(" ",LEN($AW$84))),($BA81-1)*LEN($AW$84)+1,LEN($AW$84)))</f>
      </c>
      <c r="BU81" t="s" s="313">
        <f>TRIM(MID(SUBSTITUTE($AW$85,$BA$62,REPT(" ",LEN($AW$85))),($BA81-1)*LEN($AW$85)+1,LEN($AW$85)))</f>
      </c>
      <c r="BV81" t="s" s="285">
        <f>IF(BX81=0,"",CONCATENATE(BW81,"66:",BW81,BX81+65))</f>
      </c>
      <c r="BW81" t="s" s="291">
        <v>239</v>
      </c>
      <c r="BX81" s="518">
        <f>BQ64</f>
        <v>0</v>
      </c>
    </row>
    <row r="82" ht="15.6" customHeight="1">
      <c r="A82" s="379"/>
      <c r="B82" s="296">
        <v>17</v>
      </c>
      <c r="C82" t="s" s="519">
        <f>IF(D82="","",C27)</f>
      </c>
      <c r="D82" t="s" s="520">
        <f>IF(OR(K27="",K27=0),"",D27)</f>
      </c>
      <c r="E82" t="s" s="521">
        <f>IF(AX82="","",AX82)</f>
      </c>
      <c r="F82" s="314"/>
      <c r="G82" s="315"/>
      <c r="H82" s="501"/>
      <c r="I82" t="s" s="503">
        <f>IF(OR(K27="",K27=0),"",K27)</f>
      </c>
      <c r="J82" t="s" s="825">
        <f>IF(F82="","",VLOOKUP(F82,'10. Condition and Temporal'!$B$6:$F$103,5,FALSE))</f>
      </c>
      <c r="K82" s="504"/>
      <c r="L82" t="s" s="418">
        <f>_xlfn.IFERROR(IF(D82="","",IF(AX82="Distinctiveness",(((((I82*AH82*AJ82*AY82)-(I82*V82*X82))*(AV82*AT82))+(I82*V82*X82))*AP82)/1000,((((I82*AH82*AJ82*AY82)-(I82*V82*X82*AJ27))*(AV82*AR82))+(I82*V82*X82*AJ27))*AP82/1000)),"This intervention is not permitted within the SSM ▲")</f>
      </c>
      <c r="M82" t="s" s="311">
        <f>_xlfn.IFERROR(IF(F82="","",L82-AD82),"Error ▲")</f>
      </c>
      <c r="N82" s="414"/>
      <c r="O82" s="415"/>
      <c r="P82" s="315"/>
      <c r="Q82" s="380"/>
      <c r="R82" s="219"/>
      <c r="S82" s="381"/>
      <c r="T82" t="s" s="295">
        <f>IF(D82="","",K27)</f>
      </c>
      <c r="U82" t="s" s="285">
        <f>IF($D82="","",T27)</f>
      </c>
      <c r="V82" t="s" s="313">
        <f>IF($D82="","",V27)</f>
      </c>
      <c r="W82" t="s" s="295">
        <f>IF($D82="","",W27)</f>
      </c>
      <c r="X82" t="s" s="285">
        <f>IF($D82="","",X27)</f>
      </c>
      <c r="Y82" s="511"/>
      <c r="Z82" s="511"/>
      <c r="AA82" s="511"/>
      <c r="AB82" t="s" s="313">
        <f>IF($D82="","",AB27)</f>
      </c>
      <c r="AC82" t="s" s="285">
        <f>IF($D82="","",AD27)</f>
      </c>
      <c r="AD82" t="s" s="313">
        <f>IF(AC82="","",((T82*V82*X82)*AC82*AJ27)/1000)</f>
      </c>
      <c r="AE82" t="s" s="295">
        <f>IF(AD82="","",IF(AH82&lt;V82,"Not Acceptable","Acceptable"))</f>
      </c>
      <c r="AF82" t="s" s="295">
        <f>IF(D82="","",I82)</f>
      </c>
      <c r="AG82" t="s" s="285">
        <f>IF(D82="","",VLOOKUP(F82,'9. All Habitats + Multipliers'!$C$4:$K$102,5,FALSE))</f>
      </c>
      <c r="AH82" t="s" s="313">
        <f>IF(AG82="","",VLOOKUP(AG82,'11. Lists'!$B$47:$D$49,2,FALSE))</f>
      </c>
      <c r="AI82" t="s" s="285">
        <f>IF(D82="","",J82)</f>
      </c>
      <c r="AJ82" t="s" s="291">
        <f>IF(AI82="","",VLOOKUP(AI82,'11. Lists'!$F$47:$G$51,2,FALSE))</f>
      </c>
      <c r="AK82" s="511"/>
      <c r="AL82" s="511"/>
      <c r="AM82" s="511"/>
      <c r="AN82" t="s" s="291">
        <f>IF(H82="","",H82)</f>
      </c>
      <c r="AO82" t="s" s="291">
        <f>IF(AN82="","",VLOOKUP(AN82,'11. Lists'!$F$36:$H$38,2,FALSE))</f>
      </c>
      <c r="AP82" t="s" s="313">
        <f>IF(AN82="","",VLOOKUP(AN82,'11. Lists'!$F$36:$H$38,3,FALSE))</f>
      </c>
      <c r="AQ82" t="s" s="285">
        <f>IF(D82="","",IF(AX82="Distinctiveness","N/A",VLOOKUP(F82,'10. Condition and Temporal'!$B$6:$L$103,11,FALSE)))</f>
      </c>
      <c r="AR82" t="s" s="313">
        <f>IF(AQ82="","",IF(AQ82="N/A","1",VLOOKUP(AQ82,'11. Lists'!$I$47:$K$80,3,FALSE)))</f>
      </c>
      <c r="AS82" t="s" s="285">
        <f>IF(D82="","",IF(AX82="Condition","N/A",VLOOKUP(F82,'10. Condition and Temporal'!$B$6:$M$106,12,FALSE)))</f>
      </c>
      <c r="AT82" t="s" s="313">
        <f>IF(AS82="","",IF(AS82="N/A","1",VLOOKUP(AS82,'11. Lists'!$I$47:$K$80,3,FALSE)))</f>
      </c>
      <c r="AU82" t="s" s="285">
        <f>IF(D82="","",VLOOKUP(F82,'9. All Habitats + Multipliers'!$C$4:$K$102,8,FALSE))</f>
      </c>
      <c r="AV82" t="s" s="313">
        <f>IF(AU82="","",VLOOKUP(AU82,'11. Lists'!$J$35:$K$38,2,FALSE))</f>
      </c>
      <c r="AW82" t="s" s="285">
        <f>IF(D82="","",VLOOKUP(D82,'10. Condition and Temporal'!$B$6:$M$103,4,FALSE))</f>
      </c>
      <c r="AX82" t="s" s="313">
        <f>IF(F82="","",IF(D82=F82,"Condition","Distinctiveness"))</f>
      </c>
      <c r="AY82" t="s" s="813">
        <v>327</v>
      </c>
      <c r="AZ82" t="s" s="824">
        <v>327</v>
      </c>
      <c r="BA82" s="401">
        <v>17</v>
      </c>
      <c r="BB82" t="s" s="291">
        <f>TRIM(MID(SUBSTITUTE($AW$66,$BA$62,REPT(" ",LEN($AW$66))),($BA82-1)*LEN($AW$66)+1,LEN($AW$66)))</f>
      </c>
      <c r="BC82" t="s" s="291">
        <f>TRIM(MID(SUBSTITUTE($AW$67,$BA$62,REPT(" ",LEN($AW$67))),($BA82-1)*LEN($AW$67)+1,LEN($AW$67)))</f>
      </c>
      <c r="BD82" t="s" s="291">
        <f>TRIM(MID(SUBSTITUTE($AW$68,$BA$62,REPT(" ",LEN($AW$68))),($BA82-1)*LEN($AW$68)+1,LEN($AW$68)))</f>
      </c>
      <c r="BE82" t="s" s="291">
        <f>TRIM(MID(SUBSTITUTE($AW$69,$BA$62,REPT(" ",LEN($AW$69))),($BA82-1)*LEN($AW$69)+1,LEN($AW$69)))</f>
      </c>
      <c r="BF82" t="s" s="291">
        <f>TRIM(MID(SUBSTITUTE($AW$70,$BA$62,REPT(" ",LEN($AW$70))),($BA82-1)*LEN($AW$70)+1,LEN($AW$70)))</f>
      </c>
      <c r="BG82" t="s" s="291">
        <f>TRIM(MID(SUBSTITUTE($AW$71,$BA$62,REPT(" ",LEN($AW$71))),($BA82-1)*LEN($AW$71)+1,LEN($AW$71)))</f>
      </c>
      <c r="BH82" t="s" s="291">
        <f>TRIM(MID(SUBSTITUTE($AW$72,$BA$62,REPT(" ",LEN($AW$72))),($BA82-1)*LEN($AW$72)+1,LEN($AW$72)))</f>
      </c>
      <c r="BI82" t="s" s="291">
        <f>TRIM(MID(SUBSTITUTE($AW$73,$BA$62,REPT(" ",LEN($AW$73))),($BA82-1)*LEN($AW$73)+1,LEN($AW$73)))</f>
      </c>
      <c r="BJ82" t="s" s="291">
        <f>TRIM(MID(SUBSTITUTE($AW$74,$BA$62,REPT(" ",LEN($AW$74))),($BA82-1)*LEN($AW$74)+1,LEN($AW$74)))</f>
      </c>
      <c r="BK82" t="s" s="291">
        <f>TRIM(MID(SUBSTITUTE($AW$75,$BA$62,REPT(" ",LEN($AW$75))),($BA82-1)*LEN($AW$75)+1,LEN($AW$75)))</f>
      </c>
      <c r="BL82" t="s" s="291">
        <f>TRIM(MID(SUBSTITUTE($AW$76,$BA$62,REPT(" ",LEN($AW$76))),($BA82-1)*LEN($AW$76)+1,LEN($AW$76)))</f>
      </c>
      <c r="BM82" t="s" s="291">
        <f>TRIM(MID(SUBSTITUTE($AW$77,$BA$62,REPT(" ",LEN($AW$77))),($BA82-1)*LEN($AW$77)+1,LEN($AW$77)))</f>
      </c>
      <c r="BN82" t="s" s="291">
        <f>TRIM(MID(SUBSTITUTE($AW$78,$BA$62,REPT(" ",LEN($AW$78))),($BA82-1)*LEN($AW$78)+1,LEN($AW$78)))</f>
      </c>
      <c r="BO82" t="s" s="291">
        <f>TRIM(MID(SUBSTITUTE($AW$79,$BA$62,REPT(" ",LEN($AW$79))),($BA82-1)*LEN($AW$79)+1,LEN($AW$79)))</f>
      </c>
      <c r="BP82" t="s" s="291">
        <f>TRIM(MID(SUBSTITUTE($AW$80,$BA$62,REPT(" ",LEN($AW$80))),($BA82-1)*LEN($AW$80)+1,LEN($AW$80)))</f>
      </c>
      <c r="BQ82" t="s" s="291">
        <f>TRIM(MID(SUBSTITUTE($AW$81,$BA$62,REPT(" ",LEN($AW$81))),($BA82-1)*LEN($AW$81)+1,LEN($AW$81)))</f>
      </c>
      <c r="BR82" t="s" s="291">
        <f>TRIM(MID(SUBSTITUTE($AW$82,$BA$62,REPT(" ",LEN($AW$82))),($BA82-1)*LEN($AW$82)+1,LEN($AW$82)))</f>
      </c>
      <c r="BS82" t="s" s="291">
        <f>TRIM(MID(SUBSTITUTE($AW$83,$BA$62,REPT(" ",LEN($AW$83))),($BA82-1)*LEN($AW$83)+1,LEN($AW$83)))</f>
      </c>
      <c r="BT82" t="s" s="291">
        <f>TRIM(MID(SUBSTITUTE($AW$84,$BA$62,REPT(" ",LEN($AW$84))),($BA82-1)*LEN($AW$84)+1,LEN($AW$84)))</f>
      </c>
      <c r="BU82" t="s" s="313">
        <f>TRIM(MID(SUBSTITUTE($AW$85,$BA$62,REPT(" ",LEN($AW$85))),($BA82-1)*LEN($AW$85)+1,LEN($AW$85)))</f>
      </c>
      <c r="BV82" t="s" s="285">
        <f>IF(BX82=0,"",CONCATENATE(BW82,"66:",BW82,BX82+65))</f>
      </c>
      <c r="BW82" t="s" s="291">
        <v>240</v>
      </c>
      <c r="BX82" s="518">
        <f>BR64</f>
        <v>0</v>
      </c>
    </row>
    <row r="83" ht="15.75" customHeight="1">
      <c r="A83" s="379"/>
      <c r="B83" s="296">
        <v>18</v>
      </c>
      <c r="C83" t="s" s="519">
        <f>IF(D83="","",C28)</f>
      </c>
      <c r="D83" t="s" s="520">
        <f>IF(OR(K28="",K28=0),"",D28)</f>
      </c>
      <c r="E83" t="s" s="521">
        <f>IF(AX83="","",AX83)</f>
      </c>
      <c r="F83" s="314"/>
      <c r="G83" s="315"/>
      <c r="H83" s="501"/>
      <c r="I83" t="s" s="503">
        <f>IF(OR(K28="",K28=0),"",K28)</f>
      </c>
      <c r="J83" t="s" s="825">
        <f>IF(F83="","",VLOOKUP(F83,'10. Condition and Temporal'!$B$6:$F$103,5,FALSE))</f>
      </c>
      <c r="K83" s="504"/>
      <c r="L83" t="s" s="418">
        <f>_xlfn.IFERROR(IF(D83="","",IF(AX83="Distinctiveness",(((((I83*AH83*AJ83*AY83)-(I83*V83*X83))*(AV83*AT83))+(I83*V83*X83))*AP83)/1000,((((I83*AH83*AJ83*AY83)-(I83*V83*X83*AJ28))*(AV83*AR83))+(I83*V83*X83*AJ28))*AP83/1000)),"This intervention is not permitted within the SSM ▲")</f>
      </c>
      <c r="M83" t="s" s="311">
        <f>_xlfn.IFERROR(IF(F83="","",L83-AD83),"Error ▲")</f>
      </c>
      <c r="N83" s="414"/>
      <c r="O83" s="415"/>
      <c r="P83" s="315"/>
      <c r="Q83" s="380"/>
      <c r="R83" s="219"/>
      <c r="S83" s="381"/>
      <c r="T83" t="s" s="295">
        <f>IF(D83="","",K28)</f>
      </c>
      <c r="U83" t="s" s="285">
        <f>IF($D83="","",T28)</f>
      </c>
      <c r="V83" t="s" s="313">
        <f>IF($D83="","",V28)</f>
      </c>
      <c r="W83" t="s" s="295">
        <f>IF($D83="","",W28)</f>
      </c>
      <c r="X83" t="s" s="285">
        <f>IF($D83="","",X28)</f>
      </c>
      <c r="Y83" s="511"/>
      <c r="Z83" s="511"/>
      <c r="AA83" s="511"/>
      <c r="AB83" t="s" s="313">
        <f>IF($D83="","",AB28)</f>
      </c>
      <c r="AC83" t="s" s="285">
        <f>IF($D83="","",AD28)</f>
      </c>
      <c r="AD83" t="s" s="313">
        <f>IF(AC83="","",((T83*V83*X83)*AC83*AJ28)/1000)</f>
      </c>
      <c r="AE83" t="s" s="295">
        <f>IF(AD83="","",IF(AH83&lt;V83,"Not Acceptable","Acceptable"))</f>
      </c>
      <c r="AF83" t="s" s="295">
        <f>IF(D83="","",I83)</f>
      </c>
      <c r="AG83" t="s" s="285">
        <f>IF(D83="","",VLOOKUP(F83,'9. All Habitats + Multipliers'!$C$4:$K$102,5,FALSE))</f>
      </c>
      <c r="AH83" t="s" s="313">
        <f>IF(AG83="","",VLOOKUP(AG83,'11. Lists'!$B$47:$D$49,2,FALSE))</f>
      </c>
      <c r="AI83" t="s" s="285">
        <f>IF(D83="","",J83)</f>
      </c>
      <c r="AJ83" t="s" s="291">
        <f>IF(AI83="","",VLOOKUP(AI83,'11. Lists'!$F$47:$G$51,2,FALSE))</f>
      </c>
      <c r="AK83" s="511"/>
      <c r="AL83" s="511"/>
      <c r="AM83" s="511"/>
      <c r="AN83" t="s" s="291">
        <f>IF(H83="","",H83)</f>
      </c>
      <c r="AO83" t="s" s="291">
        <f>IF(AN83="","",VLOOKUP(AN83,'11. Lists'!$F$36:$H$38,2,FALSE))</f>
      </c>
      <c r="AP83" t="s" s="313">
        <f>IF(AN83="","",VLOOKUP(AN83,'11. Lists'!$F$36:$H$38,3,FALSE))</f>
      </c>
      <c r="AQ83" t="s" s="285">
        <f>IF(D83="","",IF(AX83="Distinctiveness","N/A",VLOOKUP(F83,'10. Condition and Temporal'!$B$6:$L$103,11,FALSE)))</f>
      </c>
      <c r="AR83" t="s" s="313">
        <f>IF(AQ83="","",IF(AQ83="N/A","1",VLOOKUP(AQ83,'11. Lists'!$I$47:$K$80,3,FALSE)))</f>
      </c>
      <c r="AS83" t="s" s="285">
        <f>IF(D83="","",IF(AX83="Condition","N/A",VLOOKUP(F83,'10. Condition and Temporal'!$B$6:$M$106,12,FALSE)))</f>
      </c>
      <c r="AT83" t="s" s="313">
        <f>IF(AS83="","",IF(AS83="N/A","1",VLOOKUP(AS83,'11. Lists'!$I$47:$K$80,3,FALSE)))</f>
      </c>
      <c r="AU83" t="s" s="285">
        <f>IF(D83="","",VLOOKUP(F83,'9. All Habitats + Multipliers'!$C$4:$K$102,8,FALSE))</f>
      </c>
      <c r="AV83" t="s" s="313">
        <f>IF(AU83="","",VLOOKUP(AU83,'11. Lists'!$J$35:$K$38,2,FALSE))</f>
      </c>
      <c r="AW83" t="s" s="285">
        <f>IF(D83="","",VLOOKUP(D83,'10. Condition and Temporal'!$B$6:$M$103,4,FALSE))</f>
      </c>
      <c r="AX83" t="s" s="313">
        <f>IF(F83="","",IF(D83=F83,"Condition","Distinctiveness"))</f>
      </c>
      <c r="AY83" t="s" s="813">
        <v>327</v>
      </c>
      <c r="AZ83" t="s" s="824">
        <v>327</v>
      </c>
      <c r="BA83" s="401">
        <v>18</v>
      </c>
      <c r="BB83" t="s" s="291">
        <f>TRIM(MID(SUBSTITUTE($AW$66,$BA$62,REPT(" ",LEN($AW$66))),($BA83-1)*LEN($AW$66)+1,LEN($AW$66)))</f>
      </c>
      <c r="BC83" t="s" s="291">
        <f>TRIM(MID(SUBSTITUTE($AW$67,$BA$62,REPT(" ",LEN($AW$67))),($BA83-1)*LEN($AW$67)+1,LEN($AW$67)))</f>
      </c>
      <c r="BD83" t="s" s="291">
        <f>TRIM(MID(SUBSTITUTE($AW$68,$BA$62,REPT(" ",LEN($AW$68))),($BA83-1)*LEN($AW$68)+1,LEN($AW$68)))</f>
      </c>
      <c r="BE83" t="s" s="291">
        <f>TRIM(MID(SUBSTITUTE($AW$69,$BA$62,REPT(" ",LEN($AW$69))),($BA83-1)*LEN($AW$69)+1,LEN($AW$69)))</f>
      </c>
      <c r="BF83" t="s" s="291">
        <f>TRIM(MID(SUBSTITUTE($AW$70,$BA$62,REPT(" ",LEN($AW$70))),($BA83-1)*LEN($AW$70)+1,LEN($AW$70)))</f>
      </c>
      <c r="BG83" t="s" s="291">
        <f>TRIM(MID(SUBSTITUTE($AW$71,$BA$62,REPT(" ",LEN($AW$71))),($BA83-1)*LEN($AW$71)+1,LEN($AW$71)))</f>
      </c>
      <c r="BH83" t="s" s="291">
        <f>TRIM(MID(SUBSTITUTE($AW$72,$BA$62,REPT(" ",LEN($AW$72))),($BA83-1)*LEN($AW$72)+1,LEN($AW$72)))</f>
      </c>
      <c r="BI83" t="s" s="291">
        <f>TRIM(MID(SUBSTITUTE($AW$73,$BA$62,REPT(" ",LEN($AW$73))),($BA83-1)*LEN($AW$73)+1,LEN($AW$73)))</f>
      </c>
      <c r="BJ83" t="s" s="291">
        <f>TRIM(MID(SUBSTITUTE($AW$74,$BA$62,REPT(" ",LEN($AW$74))),($BA83-1)*LEN($AW$74)+1,LEN($AW$74)))</f>
      </c>
      <c r="BK83" t="s" s="291">
        <f>TRIM(MID(SUBSTITUTE($AW$75,$BA$62,REPT(" ",LEN($AW$75))),($BA83-1)*LEN($AW$75)+1,LEN($AW$75)))</f>
      </c>
      <c r="BL83" t="s" s="291">
        <f>TRIM(MID(SUBSTITUTE($AW$76,$BA$62,REPT(" ",LEN($AW$76))),($BA83-1)*LEN($AW$76)+1,LEN($AW$76)))</f>
      </c>
      <c r="BM83" t="s" s="291">
        <f>TRIM(MID(SUBSTITUTE($AW$77,$BA$62,REPT(" ",LEN($AW$77))),($BA83-1)*LEN($AW$77)+1,LEN($AW$77)))</f>
      </c>
      <c r="BN83" t="s" s="291">
        <f>TRIM(MID(SUBSTITUTE($AW$78,$BA$62,REPT(" ",LEN($AW$78))),($BA83-1)*LEN($AW$78)+1,LEN($AW$78)))</f>
      </c>
      <c r="BO83" t="s" s="291">
        <f>TRIM(MID(SUBSTITUTE($AW$79,$BA$62,REPT(" ",LEN($AW$79))),($BA83-1)*LEN($AW$79)+1,LEN($AW$79)))</f>
      </c>
      <c r="BP83" t="s" s="291">
        <f>TRIM(MID(SUBSTITUTE($AW$80,$BA$62,REPT(" ",LEN($AW$80))),($BA83-1)*LEN($AW$80)+1,LEN($AW$80)))</f>
      </c>
      <c r="BQ83" t="s" s="291">
        <f>TRIM(MID(SUBSTITUTE($AW$81,$BA$62,REPT(" ",LEN($AW$81))),($BA83-1)*LEN($AW$81)+1,LEN($AW$81)))</f>
      </c>
      <c r="BR83" t="s" s="291">
        <f>TRIM(MID(SUBSTITUTE($AW$82,$BA$62,REPT(" ",LEN($AW$82))),($BA83-1)*LEN($AW$82)+1,LEN($AW$82)))</f>
      </c>
      <c r="BS83" t="s" s="291">
        <f>TRIM(MID(SUBSTITUTE($AW$83,$BA$62,REPT(" ",LEN($AW$83))),($BA83-1)*LEN($AW$83)+1,LEN($AW$83)))</f>
      </c>
      <c r="BT83" t="s" s="291">
        <f>TRIM(MID(SUBSTITUTE($AW$84,$BA$62,REPT(" ",LEN($AW$84))),($BA83-1)*LEN($AW$84)+1,LEN($AW$84)))</f>
      </c>
      <c r="BU83" t="s" s="313">
        <f>TRIM(MID(SUBSTITUTE($AW$85,$BA$62,REPT(" ",LEN($AW$85))),($BA83-1)*LEN($AW$85)+1,LEN($AW$85)))</f>
      </c>
      <c r="BV83" t="s" s="285">
        <f>IF(BX83=0,"",CONCATENATE(BW83,"66:",BW83,BX83+65))</f>
      </c>
      <c r="BW83" t="s" s="291">
        <v>241</v>
      </c>
      <c r="BX83" s="518">
        <f>BS64</f>
        <v>0</v>
      </c>
    </row>
    <row r="84" ht="15.75" customHeight="1">
      <c r="A84" s="379"/>
      <c r="B84" s="296">
        <v>19</v>
      </c>
      <c r="C84" t="s" s="519">
        <f>IF(D84="","",C29)</f>
      </c>
      <c r="D84" t="s" s="520">
        <f>IF(OR(K29="",K29=0),"",D29)</f>
      </c>
      <c r="E84" t="s" s="521">
        <f>IF(AX84="","",AX84)</f>
      </c>
      <c r="F84" s="314"/>
      <c r="G84" s="315"/>
      <c r="H84" s="501"/>
      <c r="I84" t="s" s="503">
        <f>IF(OR(K29="",K29=0),"",K29)</f>
      </c>
      <c r="J84" t="s" s="825">
        <f>IF(F84="","",VLOOKUP(F84,'10. Condition and Temporal'!$B$6:$F$103,5,FALSE))</f>
      </c>
      <c r="K84" s="504"/>
      <c r="L84" t="s" s="418">
        <f>_xlfn.IFERROR(IF(D84="","",IF(AX84="Distinctiveness",(((((I84*AH84*AJ84*AY84)-(I84*V84*X84))*(AV84*AT84))+(I84*V84*X84))*AP84)/1000,((((I84*AH84*AJ84*AY84)-(I84*V84*X84*AJ29))*(AV84*AR84))+(I84*V84*X84*AJ29))*AP84/1000)),"This intervention is not permitted within the SSM ▲")</f>
      </c>
      <c r="M84" t="s" s="311">
        <f>_xlfn.IFERROR(IF(F84="","",L84-AD84),"Error ▲")</f>
      </c>
      <c r="N84" s="414"/>
      <c r="O84" s="415"/>
      <c r="P84" s="315"/>
      <c r="Q84" s="380"/>
      <c r="R84" s="219"/>
      <c r="S84" s="381"/>
      <c r="T84" t="s" s="295">
        <f>IF(D84="","",K29)</f>
      </c>
      <c r="U84" t="s" s="285">
        <f>IF($D84="","",T29)</f>
      </c>
      <c r="V84" t="s" s="313">
        <f>IF($D84="","",V29)</f>
      </c>
      <c r="W84" t="s" s="295">
        <f>IF($D84="","",W29)</f>
      </c>
      <c r="X84" t="s" s="285">
        <f>IF($D84="","",X29)</f>
      </c>
      <c r="Y84" s="511"/>
      <c r="Z84" s="511"/>
      <c r="AA84" s="511"/>
      <c r="AB84" t="s" s="313">
        <f>IF($D84="","",AB29)</f>
      </c>
      <c r="AC84" t="s" s="285">
        <f>IF($D84="","",AD29)</f>
      </c>
      <c r="AD84" t="s" s="313">
        <f>IF(AC84="","",((T84*V84*X84)*AC84*AJ29)/1000)</f>
      </c>
      <c r="AE84" t="s" s="295">
        <f>IF(AD84="","",IF(AH84&lt;V84,"Not Acceptable","Acceptable"))</f>
      </c>
      <c r="AF84" t="s" s="295">
        <f>IF(D84="","",I84)</f>
      </c>
      <c r="AG84" t="s" s="285">
        <f>IF(D84="","",VLOOKUP(F84,'9. All Habitats + Multipliers'!$C$4:$K$102,5,FALSE))</f>
      </c>
      <c r="AH84" t="s" s="313">
        <f>IF(AG84="","",VLOOKUP(AG84,'11. Lists'!$B$47:$D$49,2,FALSE))</f>
      </c>
      <c r="AI84" t="s" s="285">
        <f>IF(D84="","",J84)</f>
      </c>
      <c r="AJ84" t="s" s="291">
        <f>IF(AI84="","",VLOOKUP(AI84,'11. Lists'!$F$47:$G$51,2,FALSE))</f>
      </c>
      <c r="AK84" s="511"/>
      <c r="AL84" s="511"/>
      <c r="AM84" s="511"/>
      <c r="AN84" t="s" s="291">
        <f>IF(H84="","",H84)</f>
      </c>
      <c r="AO84" t="s" s="291">
        <f>IF(AN84="","",VLOOKUP(AN84,'11. Lists'!$F$36:$H$38,2,FALSE))</f>
      </c>
      <c r="AP84" t="s" s="313">
        <f>IF(AN84="","",VLOOKUP(AN84,'11. Lists'!$F$36:$H$38,3,FALSE))</f>
      </c>
      <c r="AQ84" t="s" s="285">
        <f>IF(D84="","",IF(AX84="Distinctiveness","N/A",VLOOKUP(F84,'10. Condition and Temporal'!$B$6:$L$103,11,FALSE)))</f>
      </c>
      <c r="AR84" t="s" s="313">
        <f>IF(AQ84="","",IF(AQ84="N/A","1",VLOOKUP(AQ84,'11. Lists'!$I$47:$K$80,3,FALSE)))</f>
      </c>
      <c r="AS84" t="s" s="285">
        <f>IF(D84="","",IF(AX84="Condition","N/A",VLOOKUP(F84,'10. Condition and Temporal'!$B$6:$M$106,12,FALSE)))</f>
      </c>
      <c r="AT84" t="s" s="313">
        <f>IF(AS84="","",IF(AS84="N/A","1",VLOOKUP(AS84,'11. Lists'!$I$47:$K$80,3,FALSE)))</f>
      </c>
      <c r="AU84" t="s" s="285">
        <f>IF(D84="","",VLOOKUP(F84,'9. All Habitats + Multipliers'!$C$4:$K$102,8,FALSE))</f>
      </c>
      <c r="AV84" t="s" s="313">
        <f>IF(AU84="","",VLOOKUP(AU84,'11. Lists'!$J$35:$K$38,2,FALSE))</f>
      </c>
      <c r="AW84" t="s" s="285">
        <f>IF(D84="","",VLOOKUP(D84,'10. Condition and Temporal'!$B$6:$M$103,4,FALSE))</f>
      </c>
      <c r="AX84" t="s" s="313">
        <f>IF(F84="","",IF(D84=F84,"Condition","Distinctiveness"))</f>
      </c>
      <c r="AY84" t="s" s="813">
        <v>327</v>
      </c>
      <c r="AZ84" t="s" s="824">
        <v>327</v>
      </c>
      <c r="BA84" s="401">
        <v>19</v>
      </c>
      <c r="BB84" t="s" s="291">
        <f>TRIM(MID(SUBSTITUTE($AW$66,$BA$62,REPT(" ",LEN($AW$66))),($BA84-1)*LEN($AW$66)+1,LEN($AW$66)))</f>
      </c>
      <c r="BC84" t="s" s="291">
        <f>TRIM(MID(SUBSTITUTE($AW$67,$BA$62,REPT(" ",LEN($AW$67))),($BA84-1)*LEN($AW$67)+1,LEN($AW$67)))</f>
      </c>
      <c r="BD84" t="s" s="291">
        <f>TRIM(MID(SUBSTITUTE($AW$68,$BA$62,REPT(" ",LEN($AW$68))),($BA84-1)*LEN($AW$68)+1,LEN($AW$68)))</f>
      </c>
      <c r="BE84" t="s" s="291">
        <f>TRIM(MID(SUBSTITUTE($AW$69,$BA$62,REPT(" ",LEN($AW$69))),($BA84-1)*LEN($AW$69)+1,LEN($AW$69)))</f>
      </c>
      <c r="BF84" t="s" s="291">
        <f>TRIM(MID(SUBSTITUTE($AW$70,$BA$62,REPT(" ",LEN($AW$70))),($BA84-1)*LEN($AW$70)+1,LEN($AW$70)))</f>
      </c>
      <c r="BG84" t="s" s="291">
        <f>TRIM(MID(SUBSTITUTE($AW$71,$BA$62,REPT(" ",LEN($AW$71))),($BA84-1)*LEN($AW$71)+1,LEN($AW$71)))</f>
      </c>
      <c r="BH84" t="s" s="291">
        <f>TRIM(MID(SUBSTITUTE($AW$72,$BA$62,REPT(" ",LEN($AW$72))),($BA84-1)*LEN($AW$72)+1,LEN($AW$72)))</f>
      </c>
      <c r="BI84" t="s" s="291">
        <f>TRIM(MID(SUBSTITUTE($AW$73,$BA$62,REPT(" ",LEN($AW$73))),($BA84-1)*LEN($AW$73)+1,LEN($AW$73)))</f>
      </c>
      <c r="BJ84" t="s" s="291">
        <f>TRIM(MID(SUBSTITUTE($AW$74,$BA$62,REPT(" ",LEN($AW$74))),($BA84-1)*LEN($AW$74)+1,LEN($AW$74)))</f>
      </c>
      <c r="BK84" t="s" s="291">
        <f>TRIM(MID(SUBSTITUTE($AW$75,$BA$62,REPT(" ",LEN($AW$75))),($BA84-1)*LEN($AW$75)+1,LEN($AW$75)))</f>
      </c>
      <c r="BL84" t="s" s="291">
        <f>TRIM(MID(SUBSTITUTE($AW$76,$BA$62,REPT(" ",LEN($AW$76))),($BA84-1)*LEN($AW$76)+1,LEN($AW$76)))</f>
      </c>
      <c r="BM84" t="s" s="291">
        <f>TRIM(MID(SUBSTITUTE($AW$77,$BA$62,REPT(" ",LEN($AW$77))),($BA84-1)*LEN($AW$77)+1,LEN($AW$77)))</f>
      </c>
      <c r="BN84" t="s" s="291">
        <f>TRIM(MID(SUBSTITUTE($AW$78,$BA$62,REPT(" ",LEN($AW$78))),($BA84-1)*LEN($AW$78)+1,LEN($AW$78)))</f>
      </c>
      <c r="BO84" t="s" s="291">
        <f>TRIM(MID(SUBSTITUTE($AW$79,$BA$62,REPT(" ",LEN($AW$79))),($BA84-1)*LEN($AW$79)+1,LEN($AW$79)))</f>
      </c>
      <c r="BP84" t="s" s="291">
        <f>TRIM(MID(SUBSTITUTE($AW$80,$BA$62,REPT(" ",LEN($AW$80))),($BA84-1)*LEN($AW$80)+1,LEN($AW$80)))</f>
      </c>
      <c r="BQ84" t="s" s="291">
        <f>TRIM(MID(SUBSTITUTE($AW$81,$BA$62,REPT(" ",LEN($AW$81))),($BA84-1)*LEN($AW$81)+1,LEN($AW$81)))</f>
      </c>
      <c r="BR84" t="s" s="291">
        <f>TRIM(MID(SUBSTITUTE($AW$82,$BA$62,REPT(" ",LEN($AW$82))),($BA84-1)*LEN($AW$82)+1,LEN($AW$82)))</f>
      </c>
      <c r="BS84" t="s" s="291">
        <f>TRIM(MID(SUBSTITUTE($AW$83,$BA$62,REPT(" ",LEN($AW$83))),($BA84-1)*LEN($AW$83)+1,LEN($AW$83)))</f>
      </c>
      <c r="BT84" t="s" s="291">
        <f>TRIM(MID(SUBSTITUTE($AW$84,$BA$62,REPT(" ",LEN($AW$84))),($BA84-1)*LEN($AW$84)+1,LEN($AW$84)))</f>
      </c>
      <c r="BU84" t="s" s="313">
        <f>TRIM(MID(SUBSTITUTE($AW$85,$BA$62,REPT(" ",LEN($AW$85))),($BA84-1)*LEN($AW$85)+1,LEN($AW$85)))</f>
      </c>
      <c r="BV84" t="s" s="285">
        <f>IF(BX84=0,"",CONCATENATE(BW84,"66:",BW84,BX84+65))</f>
      </c>
      <c r="BW84" t="s" s="291">
        <v>242</v>
      </c>
      <c r="BX84" s="518">
        <f>BT64</f>
        <v>0</v>
      </c>
    </row>
    <row r="85" ht="15.95" customHeight="1">
      <c r="A85" s="379"/>
      <c r="B85" s="419">
        <v>20</v>
      </c>
      <c r="C85" t="s" s="523">
        <f>IF(D85="","",C30)</f>
      </c>
      <c r="D85" t="s" s="524">
        <f>IF(OR(K30="",K30=0),"",D30)</f>
      </c>
      <c r="E85" t="s" s="525">
        <f>IF(AX85="","",AX85)</f>
      </c>
      <c r="F85" s="526"/>
      <c r="G85" s="338"/>
      <c r="H85" s="527"/>
      <c r="I85" t="s" s="529">
        <f>IF(OR(K30="",K30=0),"",K30)</f>
      </c>
      <c r="J85" t="s" s="826">
        <f>IF(F85="","",VLOOKUP(F85,'10. Condition and Temporal'!$B$6:$F$103,5,FALSE))</f>
      </c>
      <c r="K85" s="530"/>
      <c r="L85" t="s" s="427">
        <f>_xlfn.IFERROR(IF(D85="","",IF(AX85="Distinctiveness",(((((I85*AH85*AJ85*AY85)-(I85*V85*X85))*(AV85*AT85))+(I85*V85*X85))*AP85)/1000,((((I85*AH85*AJ85*AY85)-(I85*V85*X85*AJ30))*(AV85*AR85))+(I85*V85*X85*AJ30))*AP85/1000)),"This intervention is not permitted within the SSM ▲")</f>
      </c>
      <c r="M85" t="s" s="323">
        <f>_xlfn.IFERROR(IF(F85="","",L85-AD85),"Error ▲")</f>
      </c>
      <c r="N85" s="429"/>
      <c r="O85" s="337"/>
      <c r="P85" s="338"/>
      <c r="Q85" s="380"/>
      <c r="R85" s="219"/>
      <c r="S85" s="381"/>
      <c r="T85" t="s" s="295">
        <f>IF(D85="","",K30)</f>
      </c>
      <c r="U85" t="s" s="285">
        <f>IF($D85="","",T30)</f>
      </c>
      <c r="V85" t="s" s="313">
        <f>IF($D85="","",V30)</f>
      </c>
      <c r="W85" t="s" s="295">
        <f>IF($D85="","",W30)</f>
      </c>
      <c r="X85" t="s" s="339">
        <f>IF($D85="","",X30)</f>
      </c>
      <c r="Y85" s="533"/>
      <c r="Z85" s="533"/>
      <c r="AA85" s="533"/>
      <c r="AB85" t="s" s="531">
        <f>IF($D85="","",AB30)</f>
      </c>
      <c r="AC85" t="s" s="285">
        <f>IF($D85="","",AD30)</f>
      </c>
      <c r="AD85" t="s" s="313">
        <f>IF(AC85="","",((T85*V85*X85)*AC85*AJ30)/1000)</f>
      </c>
      <c r="AE85" t="s" s="295">
        <f>IF(AD85="","",IF(AH85&lt;V85,"Not Acceptable","Acceptable"))</f>
      </c>
      <c r="AF85" t="s" s="295">
        <f>IF(D85="","",I85)</f>
      </c>
      <c r="AG85" t="s" s="285">
        <f>IF(D85="","",VLOOKUP(F85,'9. All Habitats + Multipliers'!$C$4:$K$102,5,FALSE))</f>
      </c>
      <c r="AH85" t="s" s="313">
        <f>IF(AG85="","",VLOOKUP(AG85,'11. Lists'!$B$47:$D$49,2,FALSE))</f>
      </c>
      <c r="AI85" t="s" s="285">
        <f>IF(D85="","",J85)</f>
      </c>
      <c r="AJ85" t="s" s="291">
        <f>IF(AI85="","",VLOOKUP(AI85,'11. Lists'!$F$47:$G$51,2,FALSE))</f>
      </c>
      <c r="AK85" s="511"/>
      <c r="AL85" s="511"/>
      <c r="AM85" s="511"/>
      <c r="AN85" t="s" s="291">
        <f>IF(H85="","",H85)</f>
      </c>
      <c r="AO85" t="s" s="291">
        <f>IF(AN85="","",VLOOKUP(AN85,'11. Lists'!$F$36:$H$38,2,FALSE))</f>
      </c>
      <c r="AP85" t="s" s="313">
        <f>IF(AN85="","",VLOOKUP(AN85,'11. Lists'!$F$36:$H$38,3,FALSE))</f>
      </c>
      <c r="AQ85" t="s" s="285">
        <f>IF(D85="","",IF(AX85="Distinctiveness","N/A",VLOOKUP(F85,'10. Condition and Temporal'!$B$6:$L$103,11,FALSE)))</f>
      </c>
      <c r="AR85" t="s" s="313">
        <f>IF(AQ85="","",IF(AQ85="N/A","1",VLOOKUP(AQ85,'11. Lists'!$I$47:$K$80,3,FALSE)))</f>
      </c>
      <c r="AS85" t="s" s="285">
        <f>IF(D85="","",IF(AX85="Condition","N/A",VLOOKUP(F85,'10. Condition and Temporal'!$B$6:$M$106,12,FALSE)))</f>
      </c>
      <c r="AT85" t="s" s="313">
        <f>IF(AS85="","",IF(AS85="N/A","1",VLOOKUP(AS85,'11. Lists'!$I$47:$K$80,3,FALSE)))</f>
      </c>
      <c r="AU85" t="s" s="285">
        <f>IF(D85="","",VLOOKUP(F85,'9. All Habitats + Multipliers'!$C$4:$K$102,8,FALSE))</f>
      </c>
      <c r="AV85" t="s" s="313">
        <f>IF(AU85="","",VLOOKUP(AU85,'11. Lists'!$J$35:$K$38,2,FALSE))</f>
      </c>
      <c r="AW85" t="s" s="285">
        <f>IF(D85="","",VLOOKUP(D85,'10. Condition and Temporal'!$B$6:$M$103,4,FALSE))</f>
      </c>
      <c r="AX85" t="s" s="313">
        <f>IF(F85="","",IF(D85=F85,"Condition","Distinctiveness"))</f>
      </c>
      <c r="AY85" t="s" s="814">
        <v>327</v>
      </c>
      <c r="AZ85" t="s" s="824">
        <v>327</v>
      </c>
      <c r="BA85" s="441">
        <v>20</v>
      </c>
      <c r="BB85" t="s" s="291">
        <f>TRIM(MID(SUBSTITUTE($AW$66,$BA$62,REPT(" ",LEN($AW$66))),($BA85-1)*LEN($AW$66)+1,LEN($AW$66)))</f>
      </c>
      <c r="BC85" t="s" s="291">
        <f>TRIM(MID(SUBSTITUTE($AW$67,$BA$62,REPT(" ",LEN($AW$67))),($BA85-1)*LEN($AW$67)+1,LEN($AW$67)))</f>
      </c>
      <c r="BD85" t="s" s="291">
        <f>TRIM(MID(SUBSTITUTE($AW$68,$BA$62,REPT(" ",LEN($AW$68))),($BA85-1)*LEN($AW$68)+1,LEN($AW$68)))</f>
      </c>
      <c r="BE85" t="s" s="291">
        <f>TRIM(MID(SUBSTITUTE($AW$69,$BA$62,REPT(" ",LEN($AW$69))),($BA85-1)*LEN($AW$69)+1,LEN($AW$69)))</f>
      </c>
      <c r="BF85" t="s" s="291">
        <f>TRIM(MID(SUBSTITUTE($AW$70,$BA$62,REPT(" ",LEN($AW$70))),($BA85-1)*LEN($AW$70)+1,LEN($AW$70)))</f>
      </c>
      <c r="BG85" t="s" s="291">
        <f>TRIM(MID(SUBSTITUTE($AW$71,$BA$62,REPT(" ",LEN($AW$71))),($BA85-1)*LEN($AW$71)+1,LEN($AW$71)))</f>
      </c>
      <c r="BH85" t="s" s="291">
        <f>TRIM(MID(SUBSTITUTE($AW$72,$BA$62,REPT(" ",LEN($AW$72))),($BA85-1)*LEN($AW$72)+1,LEN($AW$72)))</f>
      </c>
      <c r="BI85" t="s" s="291">
        <f>TRIM(MID(SUBSTITUTE($AW$73,$BA$62,REPT(" ",LEN($AW$73))),($BA85-1)*LEN($AW$73)+1,LEN($AW$73)))</f>
      </c>
      <c r="BJ85" t="s" s="291">
        <f>TRIM(MID(SUBSTITUTE($AW$74,$BA$62,REPT(" ",LEN($AW$74))),($BA85-1)*LEN($AW$74)+1,LEN($AW$74)))</f>
      </c>
      <c r="BK85" t="s" s="291">
        <f>TRIM(MID(SUBSTITUTE($AW$75,$BA$62,REPT(" ",LEN($AW$75))),($BA85-1)*LEN($AW$75)+1,LEN($AW$75)))</f>
      </c>
      <c r="BL85" t="s" s="291">
        <f>TRIM(MID(SUBSTITUTE($AW$76,$BA$62,REPT(" ",LEN($AW$76))),($BA85-1)*LEN($AW$76)+1,LEN($AW$76)))</f>
      </c>
      <c r="BM85" t="s" s="291">
        <f>TRIM(MID(SUBSTITUTE($AW$77,$BA$62,REPT(" ",LEN($AW$77))),($BA85-1)*LEN($AW$77)+1,LEN($AW$77)))</f>
      </c>
      <c r="BN85" t="s" s="291">
        <f>TRIM(MID(SUBSTITUTE($AW$78,$BA$62,REPT(" ",LEN($AW$78))),($BA85-1)*LEN($AW$78)+1,LEN($AW$78)))</f>
      </c>
      <c r="BO85" t="s" s="291">
        <f>TRIM(MID(SUBSTITUTE($AW$79,$BA$62,REPT(" ",LEN($AW$79))),($BA85-1)*LEN($AW$79)+1,LEN($AW$79)))</f>
      </c>
      <c r="BP85" t="s" s="291">
        <f>TRIM(MID(SUBSTITUTE($AW$80,$BA$62,REPT(" ",LEN($AW$80))),($BA85-1)*LEN($AW$80)+1,LEN($AW$80)))</f>
      </c>
      <c r="BQ85" t="s" s="291">
        <f>TRIM(MID(SUBSTITUTE($AW$81,$BA$62,REPT(" ",LEN($AW$81))),($BA85-1)*LEN($AW$81)+1,LEN($AW$81)))</f>
      </c>
      <c r="BR85" t="s" s="291">
        <f>TRIM(MID(SUBSTITUTE($AW$82,$BA$62,REPT(" ",LEN($AW$82))),($BA85-1)*LEN($AW$82)+1,LEN($AW$82)))</f>
      </c>
      <c r="BS85" t="s" s="291">
        <f>TRIM(MID(SUBSTITUTE($AW$83,$BA$62,REPT(" ",LEN($AW$83))),($BA85-1)*LEN($AW$83)+1,LEN($AW$83)))</f>
      </c>
      <c r="BT85" t="s" s="291">
        <f>TRIM(MID(SUBSTITUTE($AW$84,$BA$62,REPT(" ",LEN($AW$84))),($BA85-1)*LEN($AW$84)+1,LEN($AW$84)))</f>
      </c>
      <c r="BU85" t="s" s="313">
        <f>TRIM(MID(SUBSTITUTE($AW$85,$BA$62,REPT(" ",LEN($AW$85))),($BA85-1)*LEN($AW$85)+1,LEN($AW$85)))</f>
      </c>
      <c r="BV85" t="s" s="285">
        <f>IF(BX85=0,"",CONCATENATE(BW85,"66:",BW85,BX85+65))</f>
      </c>
      <c r="BW85" t="s" s="291">
        <v>243</v>
      </c>
      <c r="BX85" s="518">
        <f>BU64</f>
        <v>0</v>
      </c>
    </row>
    <row r="86" ht="15" customHeight="1">
      <c r="A86" s="347"/>
      <c r="B86" s="348"/>
      <c r="C86" s="348"/>
      <c r="D86" s="348"/>
      <c r="E86" s="348"/>
      <c r="F86" s="348"/>
      <c r="G86" s="443"/>
      <c r="H86" t="s" s="726">
        <v>300</v>
      </c>
      <c r="I86" s="553">
        <f>SUM(I66:I85)</f>
        <v>0</v>
      </c>
      <c r="J86" s="727"/>
      <c r="K86" s="443"/>
      <c r="L86" s="334">
        <f>SUM(L66:L85)</f>
        <v>0</v>
      </c>
      <c r="M86" s="438">
        <f>SUM(M66:N85)</f>
        <v>0</v>
      </c>
      <c r="N86" s="336"/>
      <c r="O86" s="355"/>
      <c r="P86" s="348"/>
      <c r="Q86" s="161"/>
      <c r="R86" s="219"/>
      <c r="S86" s="161"/>
      <c r="T86" s="356"/>
      <c r="U86" s="356"/>
      <c r="V86" s="356"/>
      <c r="W86" s="356"/>
      <c r="X86" s="348"/>
      <c r="Y86" s="348"/>
      <c r="Z86" s="348"/>
      <c r="AA86" s="348"/>
      <c r="AB86" s="348"/>
      <c r="AC86" s="356"/>
      <c r="AD86" s="356"/>
      <c r="AE86" s="356"/>
      <c r="AF86" s="356"/>
      <c r="AG86" s="356"/>
      <c r="AH86" s="356"/>
      <c r="AI86" s="356"/>
      <c r="AJ86" s="800"/>
      <c r="AK86" s="800"/>
      <c r="AL86" s="800"/>
      <c r="AM86" s="800"/>
      <c r="AN86" s="800"/>
      <c r="AO86" s="356"/>
      <c r="AP86" s="356"/>
      <c r="AQ86" s="356"/>
      <c r="AR86" s="356"/>
      <c r="AS86" s="356"/>
      <c r="AT86" s="356"/>
      <c r="AU86" s="356"/>
      <c r="AV86" s="356"/>
      <c r="AW86" s="356"/>
      <c r="AX86" s="356"/>
      <c r="AY86" s="348"/>
      <c r="AZ86" s="161"/>
      <c r="BA86" s="348"/>
      <c r="BB86" s="356"/>
      <c r="BC86" s="356"/>
      <c r="BD86" s="356"/>
      <c r="BE86" s="356"/>
      <c r="BF86" s="356"/>
      <c r="BG86" s="356"/>
      <c r="BH86" s="356"/>
      <c r="BI86" s="356"/>
      <c r="BJ86" s="356"/>
      <c r="BK86" s="356"/>
      <c r="BL86" s="356"/>
      <c r="BM86" s="356"/>
      <c r="BN86" s="356"/>
      <c r="BO86" s="356"/>
      <c r="BP86" s="356"/>
      <c r="BQ86" s="356"/>
      <c r="BR86" s="356"/>
      <c r="BS86" s="356"/>
      <c r="BT86" s="356"/>
      <c r="BU86" s="356"/>
      <c r="BV86" s="356"/>
      <c r="BW86" s="356"/>
      <c r="BX86" s="728"/>
    </row>
    <row r="87" ht="14.05" customHeight="1">
      <c r="A87" s="347"/>
      <c r="B87" s="161"/>
      <c r="C87" s="460"/>
      <c r="D87" s="161"/>
      <c r="E87" s="161"/>
      <c r="F87" s="161"/>
      <c r="G87" s="161"/>
      <c r="H87" s="348"/>
      <c r="I87" s="348"/>
      <c r="J87" s="161"/>
      <c r="K87" s="161"/>
      <c r="L87" s="348"/>
      <c r="M87" s="348"/>
      <c r="N87" s="348"/>
      <c r="O87" s="161"/>
      <c r="P87" s="161"/>
      <c r="Q87" s="161"/>
      <c r="R87" s="219"/>
      <c r="S87" s="161"/>
      <c r="T87" s="161"/>
      <c r="U87" s="161"/>
      <c r="V87" s="161"/>
      <c r="W87" s="161"/>
      <c r="X87" s="161"/>
      <c r="Y87" s="161"/>
      <c r="Z87" s="161"/>
      <c r="AA87" s="161"/>
      <c r="AB87" s="161"/>
      <c r="AC87" s="161"/>
      <c r="AD87" s="161"/>
      <c r="AE87" s="161"/>
      <c r="AF87" s="161"/>
      <c r="AG87" s="161"/>
      <c r="AH87" s="161"/>
      <c r="AI87" s="161"/>
      <c r="AJ87" s="774"/>
      <c r="AK87" s="774"/>
      <c r="AL87" s="774"/>
      <c r="AM87" s="774"/>
      <c r="AN87" s="774"/>
      <c r="AO87" s="161"/>
      <c r="AP87" s="161"/>
      <c r="AQ87" s="161"/>
      <c r="AR87" s="161"/>
      <c r="AS87" s="161"/>
      <c r="AT87" s="161"/>
      <c r="AU87" s="161"/>
      <c r="AV87" s="161"/>
      <c r="AW87" s="161"/>
      <c r="AX87" s="161"/>
      <c r="AY87" s="161"/>
      <c r="AZ87" s="161"/>
      <c r="BA87" s="161"/>
      <c r="BB87" s="161"/>
      <c r="BC87" s="161"/>
      <c r="BD87" s="161"/>
      <c r="BE87" s="161"/>
      <c r="BF87" s="161"/>
      <c r="BG87" s="161"/>
      <c r="BH87" s="161"/>
      <c r="BI87" s="161"/>
      <c r="BJ87" s="161"/>
      <c r="BK87" s="161"/>
      <c r="BL87" s="161"/>
      <c r="BM87" s="161"/>
      <c r="BN87" s="161"/>
      <c r="BO87" s="161"/>
      <c r="BP87" s="161"/>
      <c r="BQ87" s="161"/>
      <c r="BR87" s="161"/>
      <c r="BS87" s="161"/>
      <c r="BT87" s="161"/>
      <c r="BU87" s="161"/>
      <c r="BV87" s="161"/>
      <c r="BW87" s="161"/>
      <c r="BX87" s="664"/>
    </row>
    <row r="88" ht="13.55" customHeight="1">
      <c r="A88" s="347"/>
      <c r="B88" s="161"/>
      <c r="C88" s="161"/>
      <c r="D88" s="161"/>
      <c r="E88" s="161"/>
      <c r="F88" s="161"/>
      <c r="G88" s="161"/>
      <c r="H88" s="161"/>
      <c r="I88" s="161"/>
      <c r="J88" s="161"/>
      <c r="K88" s="161"/>
      <c r="L88" s="161"/>
      <c r="M88" s="161"/>
      <c r="N88" s="161"/>
      <c r="O88" s="161"/>
      <c r="P88" s="161"/>
      <c r="Q88" s="161"/>
      <c r="R88" s="219"/>
      <c r="S88" s="161"/>
      <c r="T88" s="161"/>
      <c r="U88" s="161"/>
      <c r="V88" s="161"/>
      <c r="W88" s="161"/>
      <c r="X88" s="161"/>
      <c r="Y88" s="161"/>
      <c r="Z88" s="161"/>
      <c r="AA88" s="161"/>
      <c r="AB88" s="161"/>
      <c r="AC88" s="161"/>
      <c r="AD88" s="161"/>
      <c r="AE88" s="161"/>
      <c r="AF88" s="161"/>
      <c r="AG88" s="161"/>
      <c r="AH88" s="161"/>
      <c r="AI88" s="161"/>
      <c r="AJ88" s="774"/>
      <c r="AK88" s="774"/>
      <c r="AL88" s="774"/>
      <c r="AM88" s="774"/>
      <c r="AN88" s="774"/>
      <c r="AO88" s="161"/>
      <c r="AP88" s="161"/>
      <c r="AQ88" s="161"/>
      <c r="AR88" s="161"/>
      <c r="AS88" s="161"/>
      <c r="AT88" s="161"/>
      <c r="AU88" s="161"/>
      <c r="AV88" s="161"/>
      <c r="AW88" s="161"/>
      <c r="AX88" s="161"/>
      <c r="AY88" s="161"/>
      <c r="AZ88" s="161"/>
      <c r="BA88" s="161"/>
      <c r="BB88" s="161"/>
      <c r="BC88" s="161"/>
      <c r="BD88" s="161"/>
      <c r="BE88" s="161"/>
      <c r="BF88" s="161"/>
      <c r="BG88" s="161"/>
      <c r="BH88" s="161"/>
      <c r="BI88" s="161"/>
      <c r="BJ88" s="161"/>
      <c r="BK88" s="161"/>
      <c r="BL88" s="161"/>
      <c r="BM88" s="161"/>
      <c r="BN88" s="161"/>
      <c r="BO88" s="161"/>
      <c r="BP88" s="161"/>
      <c r="BQ88" s="161"/>
      <c r="BR88" s="161"/>
      <c r="BS88" s="161"/>
      <c r="BT88" s="161"/>
      <c r="BU88" s="161"/>
      <c r="BV88" s="161"/>
      <c r="BW88" s="161"/>
      <c r="BX88" s="664"/>
    </row>
    <row r="89" ht="19.35" customHeight="1">
      <c r="A89" s="347"/>
      <c r="B89" s="161"/>
      <c r="C89" s="161"/>
      <c r="D89" s="161"/>
      <c r="E89" s="161"/>
      <c r="F89" s="161"/>
      <c r="G89" s="161"/>
      <c r="H89" s="161"/>
      <c r="I89" s="161"/>
      <c r="J89" s="161"/>
      <c r="K89" s="161"/>
      <c r="L89" s="161"/>
      <c r="M89" s="161"/>
      <c r="N89" s="161"/>
      <c r="O89" s="161"/>
      <c r="P89" s="161"/>
      <c r="Q89" s="161"/>
      <c r="R89" s="219"/>
      <c r="S89" s="161"/>
      <c r="T89" s="161"/>
      <c r="U89" s="161"/>
      <c r="V89" s="161"/>
      <c r="W89" s="161"/>
      <c r="X89" s="161"/>
      <c r="Y89" s="161"/>
      <c r="Z89" s="161"/>
      <c r="AA89" s="161"/>
      <c r="AB89" s="161"/>
      <c r="AC89" s="161"/>
      <c r="AD89" s="161"/>
      <c r="AE89" s="161"/>
      <c r="AF89" s="161"/>
      <c r="AG89" s="161"/>
      <c r="AH89" s="161"/>
      <c r="AI89" s="161"/>
      <c r="AJ89" s="774"/>
      <c r="AK89" s="774"/>
      <c r="AL89" s="774"/>
      <c r="AM89" s="774"/>
      <c r="AN89" s="774"/>
      <c r="AO89" s="161"/>
      <c r="AP89" s="161"/>
      <c r="AQ89" s="161"/>
      <c r="AR89" s="161"/>
      <c r="AS89" s="161"/>
      <c r="AT89" s="161"/>
      <c r="AU89" s="161"/>
      <c r="AV89" s="161"/>
      <c r="AW89" s="161"/>
      <c r="AX89" s="161"/>
      <c r="AY89" s="161"/>
      <c r="AZ89" s="161"/>
      <c r="BA89" s="161"/>
      <c r="BB89" s="161"/>
      <c r="BC89" s="161"/>
      <c r="BD89" s="161"/>
      <c r="BE89" s="161"/>
      <c r="BF89" s="161"/>
      <c r="BG89" s="161"/>
      <c r="BH89" s="161"/>
      <c r="BI89" s="161"/>
      <c r="BJ89" s="161"/>
      <c r="BK89" s="161"/>
      <c r="BL89" s="161"/>
      <c r="BM89" s="161"/>
      <c r="BN89" s="161"/>
      <c r="BO89" s="161"/>
      <c r="BP89" s="161"/>
      <c r="BQ89" s="161"/>
      <c r="BR89" s="161"/>
      <c r="BS89" s="161"/>
      <c r="BT89" s="161"/>
      <c r="BU89" s="161"/>
      <c r="BV89" s="161"/>
      <c r="BW89" s="161"/>
      <c r="BX89" s="664"/>
    </row>
    <row r="90" ht="13.55" customHeight="1">
      <c r="A90" s="347"/>
      <c r="B90" s="161"/>
      <c r="C90" s="161"/>
      <c r="D90" s="161"/>
      <c r="E90" s="161"/>
      <c r="F90" s="161"/>
      <c r="G90" s="161"/>
      <c r="H90" s="161"/>
      <c r="I90" s="161"/>
      <c r="J90" s="161"/>
      <c r="K90" s="161"/>
      <c r="L90" s="161"/>
      <c r="M90" s="161"/>
      <c r="N90" s="161"/>
      <c r="O90" s="161"/>
      <c r="P90" s="161"/>
      <c r="Q90" s="161"/>
      <c r="R90" s="219"/>
      <c r="S90" s="161"/>
      <c r="T90" s="161"/>
      <c r="U90" s="161"/>
      <c r="V90" s="161"/>
      <c r="W90" s="161"/>
      <c r="X90" s="161"/>
      <c r="Y90" s="161"/>
      <c r="Z90" s="161"/>
      <c r="AA90" s="161"/>
      <c r="AB90" s="161"/>
      <c r="AC90" s="161"/>
      <c r="AD90" s="161"/>
      <c r="AE90" s="161"/>
      <c r="AF90" s="161"/>
      <c r="AG90" s="161"/>
      <c r="AH90" s="161"/>
      <c r="AI90" s="161"/>
      <c r="AJ90" s="774"/>
      <c r="AK90" s="774"/>
      <c r="AL90" s="774"/>
      <c r="AM90" s="774"/>
      <c r="AN90" s="774"/>
      <c r="AO90" s="161"/>
      <c r="AP90" s="161"/>
      <c r="AQ90" s="161"/>
      <c r="AR90" s="161"/>
      <c r="AS90" s="161"/>
      <c r="AT90" s="161"/>
      <c r="AU90" s="161"/>
      <c r="AV90" s="161"/>
      <c r="AW90" s="161"/>
      <c r="AX90" s="161"/>
      <c r="AY90" s="161"/>
      <c r="AZ90" s="161"/>
      <c r="BA90" s="161"/>
      <c r="BB90" s="161"/>
      <c r="BC90" s="161"/>
      <c r="BD90" s="161"/>
      <c r="BE90" s="161"/>
      <c r="BF90" s="161"/>
      <c r="BG90" s="161"/>
      <c r="BH90" s="161"/>
      <c r="BI90" s="161"/>
      <c r="BJ90" s="161"/>
      <c r="BK90" s="161"/>
      <c r="BL90" s="161"/>
      <c r="BM90" s="161"/>
      <c r="BN90" s="161"/>
      <c r="BO90" s="161"/>
      <c r="BP90" s="161"/>
      <c r="BQ90" s="161"/>
      <c r="BR90" s="161"/>
      <c r="BS90" s="161"/>
      <c r="BT90" s="161"/>
      <c r="BU90" s="161"/>
      <c r="BV90" s="161"/>
      <c r="BW90" s="161"/>
      <c r="BX90" s="664"/>
    </row>
    <row r="91" ht="13.55" customHeight="1">
      <c r="A91" t="s" s="603">
        <v>265</v>
      </c>
      <c r="B91" s="219"/>
      <c r="C91" s="219"/>
      <c r="D91" s="219"/>
      <c r="E91" s="219"/>
      <c r="F91" s="219"/>
      <c r="G91" s="219"/>
      <c r="H91" s="219"/>
      <c r="I91" s="219"/>
      <c r="J91" s="219"/>
      <c r="K91" s="219"/>
      <c r="L91" s="219"/>
      <c r="M91" s="219"/>
      <c r="N91" s="219"/>
      <c r="O91" s="219"/>
      <c r="P91" s="219"/>
      <c r="Q91" s="219"/>
      <c r="R91" s="219"/>
      <c r="S91" s="161"/>
      <c r="T91" s="161"/>
      <c r="U91" s="161"/>
      <c r="V91" s="161"/>
      <c r="W91" s="161"/>
      <c r="X91" s="161"/>
      <c r="Y91" s="161"/>
      <c r="Z91" s="161"/>
      <c r="AA91" s="161"/>
      <c r="AB91" s="161"/>
      <c r="AC91" s="161"/>
      <c r="AD91" s="161"/>
      <c r="AE91" s="161"/>
      <c r="AF91" s="161"/>
      <c r="AG91" s="161"/>
      <c r="AH91" s="161"/>
      <c r="AI91" s="161"/>
      <c r="AJ91" s="774"/>
      <c r="AK91" s="774"/>
      <c r="AL91" s="774"/>
      <c r="AM91" s="774"/>
      <c r="AN91" s="774"/>
      <c r="AO91" s="161"/>
      <c r="AP91" s="161"/>
      <c r="AQ91" s="161"/>
      <c r="AR91" s="161"/>
      <c r="AS91" s="161"/>
      <c r="AT91" s="161"/>
      <c r="AU91" s="161"/>
      <c r="AV91" s="161"/>
      <c r="AW91" s="161"/>
      <c r="AX91" s="161"/>
      <c r="AY91" s="161"/>
      <c r="AZ91" s="161"/>
      <c r="BA91" s="161"/>
      <c r="BB91" s="161"/>
      <c r="BC91" s="161"/>
      <c r="BD91" s="161"/>
      <c r="BE91" s="161"/>
      <c r="BF91" s="161"/>
      <c r="BG91" s="161"/>
      <c r="BH91" s="161"/>
      <c r="BI91" s="161"/>
      <c r="BJ91" s="161"/>
      <c r="BK91" s="161"/>
      <c r="BL91" s="161"/>
      <c r="BM91" s="161"/>
      <c r="BN91" s="161"/>
      <c r="BO91" s="161"/>
      <c r="BP91" s="161"/>
      <c r="BQ91" s="161"/>
      <c r="BR91" s="161"/>
      <c r="BS91" s="161"/>
      <c r="BT91" s="161"/>
      <c r="BU91" s="161"/>
      <c r="BV91" s="161"/>
      <c r="BW91" s="161"/>
      <c r="BX91" s="664"/>
    </row>
    <row r="92" ht="13.55" customHeight="1">
      <c r="A92" s="604"/>
      <c r="B92" s="219"/>
      <c r="C92" s="219"/>
      <c r="D92" s="219"/>
      <c r="E92" s="219"/>
      <c r="F92" s="219"/>
      <c r="G92" s="219"/>
      <c r="H92" s="219"/>
      <c r="I92" s="219"/>
      <c r="J92" s="219"/>
      <c r="K92" s="219"/>
      <c r="L92" s="219"/>
      <c r="M92" s="219"/>
      <c r="N92" s="219"/>
      <c r="O92" s="219"/>
      <c r="P92" s="219"/>
      <c r="Q92" s="219"/>
      <c r="R92" s="219"/>
      <c r="S92" s="161"/>
      <c r="T92" s="161"/>
      <c r="U92" s="161"/>
      <c r="V92" s="161"/>
      <c r="W92" s="161"/>
      <c r="X92" s="161"/>
      <c r="Y92" s="161"/>
      <c r="Z92" s="161"/>
      <c r="AA92" s="161"/>
      <c r="AB92" s="161"/>
      <c r="AC92" s="161"/>
      <c r="AD92" s="161"/>
      <c r="AE92" s="161"/>
      <c r="AF92" s="161"/>
      <c r="AG92" s="161"/>
      <c r="AH92" s="161"/>
      <c r="AI92" s="161"/>
      <c r="AJ92" s="774"/>
      <c r="AK92" s="774"/>
      <c r="AL92" s="774"/>
      <c r="AM92" s="774"/>
      <c r="AN92" s="774"/>
      <c r="AO92" s="161"/>
      <c r="AP92" s="161"/>
      <c r="AQ92" s="161"/>
      <c r="AR92" s="161"/>
      <c r="AS92" s="161"/>
      <c r="AT92" s="161"/>
      <c r="AU92" s="161"/>
      <c r="AV92" s="161"/>
      <c r="AW92" s="161"/>
      <c r="AX92" s="161"/>
      <c r="AY92" s="161"/>
      <c r="AZ92" s="161"/>
      <c r="BA92" s="161"/>
      <c r="BB92" s="161"/>
      <c r="BC92" s="161"/>
      <c r="BD92" s="161"/>
      <c r="BE92" s="161"/>
      <c r="BF92" s="161"/>
      <c r="BG92" s="161"/>
      <c r="BH92" s="161"/>
      <c r="BI92" s="161"/>
      <c r="BJ92" s="161"/>
      <c r="BK92" s="161"/>
      <c r="BL92" s="161"/>
      <c r="BM92" s="161"/>
      <c r="BN92" s="161"/>
      <c r="BO92" s="161"/>
      <c r="BP92" s="161"/>
      <c r="BQ92" s="161"/>
      <c r="BR92" s="161"/>
      <c r="BS92" s="161"/>
      <c r="BT92" s="161"/>
      <c r="BU92" s="161"/>
      <c r="BV92" s="161"/>
      <c r="BW92" s="161"/>
      <c r="BX92" s="664"/>
    </row>
    <row r="93" ht="13.55" customHeight="1">
      <c r="A93" s="604"/>
      <c r="B93" s="219"/>
      <c r="C93" s="219"/>
      <c r="D93" s="219"/>
      <c r="E93" s="219"/>
      <c r="F93" s="219"/>
      <c r="G93" s="219"/>
      <c r="H93" s="219"/>
      <c r="I93" s="219"/>
      <c r="J93" s="219"/>
      <c r="K93" s="219"/>
      <c r="L93" s="219"/>
      <c r="M93" s="219"/>
      <c r="N93" s="219"/>
      <c r="O93" s="219"/>
      <c r="P93" s="219"/>
      <c r="Q93" s="219"/>
      <c r="R93" s="219"/>
      <c r="S93" s="161"/>
      <c r="T93" s="161"/>
      <c r="U93" s="161"/>
      <c r="V93" s="161"/>
      <c r="W93" s="161"/>
      <c r="X93" s="161"/>
      <c r="Y93" s="161"/>
      <c r="Z93" s="161"/>
      <c r="AA93" s="161"/>
      <c r="AB93" s="161"/>
      <c r="AC93" s="161"/>
      <c r="AD93" s="161"/>
      <c r="AE93" s="161"/>
      <c r="AF93" s="161"/>
      <c r="AG93" s="161"/>
      <c r="AH93" s="161"/>
      <c r="AI93" s="161"/>
      <c r="AJ93" s="774"/>
      <c r="AK93" s="774"/>
      <c r="AL93" s="774"/>
      <c r="AM93" s="774"/>
      <c r="AN93" s="774"/>
      <c r="AO93" s="161"/>
      <c r="AP93" s="161"/>
      <c r="AQ93" s="161"/>
      <c r="AR93" s="161"/>
      <c r="AS93" s="161"/>
      <c r="AT93" s="161"/>
      <c r="AU93" s="161"/>
      <c r="AV93" s="161"/>
      <c r="AW93" s="161"/>
      <c r="AX93" s="161"/>
      <c r="AY93" s="161"/>
      <c r="AZ93" s="161"/>
      <c r="BA93" s="161"/>
      <c r="BB93" s="161"/>
      <c r="BC93" s="161"/>
      <c r="BD93" s="161"/>
      <c r="BE93" s="161"/>
      <c r="BF93" s="161"/>
      <c r="BG93" s="161"/>
      <c r="BH93" s="161"/>
      <c r="BI93" s="161"/>
      <c r="BJ93" s="161"/>
      <c r="BK93" s="161"/>
      <c r="BL93" s="161"/>
      <c r="BM93" s="161"/>
      <c r="BN93" s="161"/>
      <c r="BO93" s="161"/>
      <c r="BP93" s="161"/>
      <c r="BQ93" s="161"/>
      <c r="BR93" s="161"/>
      <c r="BS93" s="161"/>
      <c r="BT93" s="161"/>
      <c r="BU93" s="161"/>
      <c r="BV93" s="161"/>
      <c r="BW93" s="161"/>
      <c r="BX93" s="664"/>
    </row>
    <row r="94" ht="13.55" customHeight="1">
      <c r="A94" s="347"/>
      <c r="B94" s="161"/>
      <c r="C94" s="161"/>
      <c r="D94" s="161"/>
      <c r="E94" s="161"/>
      <c r="F94" s="161"/>
      <c r="G94" s="161"/>
      <c r="H94" s="161"/>
      <c r="I94" s="161"/>
      <c r="J94" s="161"/>
      <c r="K94" s="161"/>
      <c r="L94" s="161"/>
      <c r="M94" s="161"/>
      <c r="N94" s="161"/>
      <c r="O94" s="161"/>
      <c r="P94" s="161"/>
      <c r="Q94" s="161"/>
      <c r="R94" s="219"/>
      <c r="S94" s="161"/>
      <c r="T94" s="161"/>
      <c r="U94" s="161"/>
      <c r="V94" s="161"/>
      <c r="W94" s="161"/>
      <c r="X94" s="161"/>
      <c r="Y94" s="161"/>
      <c r="Z94" s="161"/>
      <c r="AA94" s="161"/>
      <c r="AB94" s="161"/>
      <c r="AC94" s="161"/>
      <c r="AD94" s="161"/>
      <c r="AE94" s="161"/>
      <c r="AF94" s="161"/>
      <c r="AG94" s="161"/>
      <c r="AH94" s="161"/>
      <c r="AI94" s="161"/>
      <c r="AJ94" s="774"/>
      <c r="AK94" s="774"/>
      <c r="AL94" s="774"/>
      <c r="AM94" s="774"/>
      <c r="AN94" s="774"/>
      <c r="AO94" s="161"/>
      <c r="AP94" s="161"/>
      <c r="AQ94" s="161"/>
      <c r="AR94" s="161"/>
      <c r="AS94" s="161"/>
      <c r="AT94" s="161"/>
      <c r="AU94" s="161"/>
      <c r="AV94" s="161"/>
      <c r="AW94" s="161"/>
      <c r="AX94" s="161"/>
      <c r="AY94" s="161"/>
      <c r="AZ94" s="161"/>
      <c r="BA94" s="161"/>
      <c r="BB94" s="161"/>
      <c r="BC94" s="161"/>
      <c r="BD94" s="161"/>
      <c r="BE94" s="161"/>
      <c r="BF94" s="161"/>
      <c r="BG94" s="161"/>
      <c r="BH94" s="161"/>
      <c r="BI94" s="161"/>
      <c r="BJ94" s="161"/>
      <c r="BK94" s="161"/>
      <c r="BL94" s="161"/>
      <c r="BM94" s="161"/>
      <c r="BN94" s="161"/>
      <c r="BO94" s="161"/>
      <c r="BP94" s="161"/>
      <c r="BQ94" s="161"/>
      <c r="BR94" s="161"/>
      <c r="BS94" s="161"/>
      <c r="BT94" s="161"/>
      <c r="BU94" s="161"/>
      <c r="BV94" s="161"/>
      <c r="BW94" s="161"/>
      <c r="BX94" s="664"/>
    </row>
    <row r="95" ht="21" customHeight="1">
      <c r="A95" s="347"/>
      <c r="B95" s="161"/>
      <c r="C95" t="s" s="374">
        <v>266</v>
      </c>
      <c r="D95" s="460"/>
      <c r="E95" s="460"/>
      <c r="F95" s="460"/>
      <c r="G95" s="460"/>
      <c r="H95" s="161"/>
      <c r="I95" s="161"/>
      <c r="J95" s="161"/>
      <c r="K95" s="161"/>
      <c r="L95" s="161"/>
      <c r="M95" s="161"/>
      <c r="N95" s="161"/>
      <c r="O95" s="161"/>
      <c r="P95" s="161"/>
      <c r="Q95" s="161"/>
      <c r="R95" s="219"/>
      <c r="S95" s="161"/>
      <c r="T95" s="161"/>
      <c r="U95" s="161"/>
      <c r="V95" s="161"/>
      <c r="W95" s="161"/>
      <c r="X95" s="161"/>
      <c r="Y95" s="161"/>
      <c r="Z95" s="161"/>
      <c r="AA95" s="161"/>
      <c r="AB95" s="161"/>
      <c r="AC95" s="161"/>
      <c r="AD95" s="161"/>
      <c r="AE95" s="161"/>
      <c r="AF95" s="161"/>
      <c r="AG95" s="161"/>
      <c r="AH95" s="161"/>
      <c r="AI95" s="161"/>
      <c r="AJ95" s="774"/>
      <c r="AK95" s="774"/>
      <c r="AL95" s="774"/>
      <c r="AM95" s="774"/>
      <c r="AN95" s="774"/>
      <c r="AO95" s="161"/>
      <c r="AP95" s="161"/>
      <c r="AQ95" s="161"/>
      <c r="AR95" s="161"/>
      <c r="AS95" s="161"/>
      <c r="AT95" s="161"/>
      <c r="AU95" s="161"/>
      <c r="AV95" s="161"/>
      <c r="AW95" s="161"/>
      <c r="AX95" s="161"/>
      <c r="AY95" s="161"/>
      <c r="AZ95" s="161"/>
      <c r="BA95" s="161"/>
      <c r="BB95" s="161"/>
      <c r="BC95" s="161"/>
      <c r="BD95" s="161"/>
      <c r="BE95" s="161"/>
      <c r="BF95" s="161"/>
      <c r="BG95" s="161"/>
      <c r="BH95" s="161"/>
      <c r="BI95" s="161"/>
      <c r="BJ95" s="161"/>
      <c r="BK95" s="161"/>
      <c r="BL95" s="161"/>
      <c r="BM95" s="161"/>
      <c r="BN95" s="161"/>
      <c r="BO95" s="161"/>
      <c r="BP95" s="161"/>
      <c r="BQ95" s="161"/>
      <c r="BR95" s="161"/>
      <c r="BS95" s="161"/>
      <c r="BT95" s="161"/>
      <c r="BU95" s="161"/>
      <c r="BV95" s="161"/>
      <c r="BW95" s="161"/>
      <c r="BX95" s="664"/>
    </row>
    <row r="96" ht="15" customHeight="1">
      <c r="A96" s="347"/>
      <c r="B96" s="161"/>
      <c r="C96" s="378"/>
      <c r="D96" s="378"/>
      <c r="E96" s="378"/>
      <c r="F96" s="378"/>
      <c r="G96" s="378"/>
      <c r="H96" s="378"/>
      <c r="I96" s="378"/>
      <c r="J96" s="161"/>
      <c r="K96" s="161"/>
      <c r="L96" s="161"/>
      <c r="M96" s="161"/>
      <c r="N96" s="161"/>
      <c r="O96" s="161"/>
      <c r="P96" s="161"/>
      <c r="Q96" s="161"/>
      <c r="R96" s="219"/>
      <c r="S96" s="161"/>
      <c r="T96" s="161"/>
      <c r="U96" s="161"/>
      <c r="V96" s="161"/>
      <c r="W96" s="161"/>
      <c r="X96" s="161"/>
      <c r="Y96" s="161"/>
      <c r="Z96" s="161"/>
      <c r="AA96" s="161"/>
      <c r="AB96" s="161"/>
      <c r="AC96" s="161"/>
      <c r="AD96" s="161"/>
      <c r="AE96" s="161"/>
      <c r="AF96" s="161"/>
      <c r="AG96" s="161"/>
      <c r="AH96" s="161"/>
      <c r="AI96" s="161"/>
      <c r="AJ96" s="774"/>
      <c r="AK96" s="774"/>
      <c r="AL96" s="774"/>
      <c r="AM96" s="774"/>
      <c r="AN96" s="774"/>
      <c r="AO96" s="161"/>
      <c r="AP96" s="161"/>
      <c r="AQ96" s="161"/>
      <c r="AR96" s="161"/>
      <c r="AS96" s="161"/>
      <c r="AT96" s="161"/>
      <c r="AU96" s="161"/>
      <c r="AV96" s="161"/>
      <c r="AW96" s="161"/>
      <c r="AX96" s="161"/>
      <c r="AY96" s="161"/>
      <c r="AZ96" s="161"/>
      <c r="BA96" s="161"/>
      <c r="BB96" s="161"/>
      <c r="BC96" s="161"/>
      <c r="BD96" s="161"/>
      <c r="BE96" s="161"/>
      <c r="BF96" s="161"/>
      <c r="BG96" s="161"/>
      <c r="BH96" s="161"/>
      <c r="BI96" s="161"/>
      <c r="BJ96" s="161"/>
      <c r="BK96" s="161"/>
      <c r="BL96" s="161"/>
      <c r="BM96" s="161"/>
      <c r="BN96" s="161"/>
      <c r="BO96" s="161"/>
      <c r="BP96" s="161"/>
      <c r="BQ96" s="161"/>
      <c r="BR96" s="161"/>
      <c r="BS96" s="161"/>
      <c r="BT96" s="161"/>
      <c r="BU96" s="161"/>
      <c r="BV96" s="161"/>
      <c r="BW96" s="161"/>
      <c r="BX96" s="664"/>
    </row>
    <row r="97" ht="36.75" customHeight="1">
      <c r="A97" s="347"/>
      <c r="B97" s="381"/>
      <c r="C97" t="s" s="729">
        <v>306</v>
      </c>
      <c r="D97" s="731"/>
      <c r="E97" t="s" s="732">
        <v>268</v>
      </c>
      <c r="F97" s="733"/>
      <c r="G97" s="733"/>
      <c r="H97" s="733"/>
      <c r="I97" s="734"/>
      <c r="J97" s="364">
        <f>_xlfn.IFERROR(FIND("Error",E97),0)</f>
        <v>0</v>
      </c>
      <c r="K97" s="161"/>
      <c r="L97" s="161"/>
      <c r="M97" s="161"/>
      <c r="N97" s="161"/>
      <c r="O97" s="161"/>
      <c r="P97" s="161"/>
      <c r="Q97" s="161"/>
      <c r="R97" s="219"/>
      <c r="S97" s="161"/>
      <c r="T97" s="161"/>
      <c r="U97" s="161"/>
      <c r="V97" s="161"/>
      <c r="W97" s="161"/>
      <c r="X97" s="161"/>
      <c r="Y97" s="161"/>
      <c r="Z97" s="161"/>
      <c r="AA97" s="161"/>
      <c r="AB97" s="161"/>
      <c r="AC97" s="161"/>
      <c r="AD97" s="161"/>
      <c r="AE97" s="161"/>
      <c r="AF97" s="161"/>
      <c r="AG97" s="161"/>
      <c r="AH97" s="161"/>
      <c r="AI97" s="161"/>
      <c r="AJ97" s="774"/>
      <c r="AK97" s="774"/>
      <c r="AL97" s="774"/>
      <c r="AM97" s="774"/>
      <c r="AN97" s="774"/>
      <c r="AO97" s="161"/>
      <c r="AP97" s="161"/>
      <c r="AQ97" s="161"/>
      <c r="AR97" s="161"/>
      <c r="AS97" s="161"/>
      <c r="AT97" s="161"/>
      <c r="AU97" s="161"/>
      <c r="AV97" s="161"/>
      <c r="AW97" s="161"/>
      <c r="AX97" s="161"/>
      <c r="AY97" s="161"/>
      <c r="AZ97" s="161"/>
      <c r="BA97" s="161"/>
      <c r="BB97" s="161"/>
      <c r="BC97" s="161"/>
      <c r="BD97" s="161"/>
      <c r="BE97" s="161"/>
      <c r="BF97" s="161"/>
      <c r="BG97" s="161"/>
      <c r="BH97" s="161"/>
      <c r="BI97" s="161"/>
      <c r="BJ97" s="161"/>
      <c r="BK97" s="161"/>
      <c r="BL97" s="161"/>
      <c r="BM97" s="161"/>
      <c r="BN97" s="161"/>
      <c r="BO97" s="161"/>
      <c r="BP97" s="161"/>
      <c r="BQ97" s="161"/>
      <c r="BR97" s="161"/>
      <c r="BS97" s="161"/>
      <c r="BT97" s="161"/>
      <c r="BU97" s="161"/>
      <c r="BV97" s="161"/>
      <c r="BW97" s="161"/>
      <c r="BX97" s="664"/>
    </row>
    <row r="98" ht="14.05" customHeight="1">
      <c r="A98" s="347"/>
      <c r="B98" s="161"/>
      <c r="C98" s="348"/>
      <c r="D98" s="348"/>
      <c r="E98" s="348"/>
      <c r="F98" s="348"/>
      <c r="G98" s="348"/>
      <c r="H98" s="348"/>
      <c r="I98" s="348"/>
      <c r="J98" s="161"/>
      <c r="K98" s="161"/>
      <c r="L98" s="161"/>
      <c r="M98" s="161"/>
      <c r="N98" s="161"/>
      <c r="O98" s="161"/>
      <c r="P98" s="161"/>
      <c r="Q98" s="161"/>
      <c r="R98" s="219"/>
      <c r="S98" s="161"/>
      <c r="T98" s="161"/>
      <c r="U98" s="161"/>
      <c r="V98" s="161"/>
      <c r="W98" s="161"/>
      <c r="X98" s="161"/>
      <c r="Y98" s="161"/>
      <c r="Z98" s="161"/>
      <c r="AA98" s="161"/>
      <c r="AB98" s="161"/>
      <c r="AC98" s="161"/>
      <c r="AD98" s="161"/>
      <c r="AE98" s="161"/>
      <c r="AF98" s="161"/>
      <c r="AG98" s="161"/>
      <c r="AH98" s="161"/>
      <c r="AI98" s="161"/>
      <c r="AJ98" s="774"/>
      <c r="AK98" s="774"/>
      <c r="AL98" s="774"/>
      <c r="AM98" s="774"/>
      <c r="AN98" s="774"/>
      <c r="AO98" s="161"/>
      <c r="AP98" s="161"/>
      <c r="AQ98" s="161"/>
      <c r="AR98" s="161"/>
      <c r="AS98" s="161"/>
      <c r="AT98" s="161"/>
      <c r="AU98" s="161"/>
      <c r="AV98" s="161"/>
      <c r="AW98" s="161"/>
      <c r="AX98" s="161"/>
      <c r="AY98" s="161"/>
      <c r="AZ98" s="161"/>
      <c r="BA98" s="161"/>
      <c r="BB98" s="161"/>
      <c r="BC98" s="161"/>
      <c r="BD98" s="161"/>
      <c r="BE98" s="161"/>
      <c r="BF98" s="161"/>
      <c r="BG98" s="161"/>
      <c r="BH98" s="161"/>
      <c r="BI98" s="161"/>
      <c r="BJ98" s="161"/>
      <c r="BK98" s="161"/>
      <c r="BL98" s="161"/>
      <c r="BM98" s="161"/>
      <c r="BN98" s="161"/>
      <c r="BO98" s="161"/>
      <c r="BP98" s="161"/>
      <c r="BQ98" s="161"/>
      <c r="BR98" s="161"/>
      <c r="BS98" s="161"/>
      <c r="BT98" s="161"/>
      <c r="BU98" s="161"/>
      <c r="BV98" s="161"/>
      <c r="BW98" s="161"/>
      <c r="BX98" s="664"/>
    </row>
    <row r="99" ht="21" customHeight="1">
      <c r="A99" s="347"/>
      <c r="B99" s="161"/>
      <c r="C99" t="s" s="374">
        <v>270</v>
      </c>
      <c r="D99" s="161"/>
      <c r="E99" s="161"/>
      <c r="F99" s="161"/>
      <c r="G99" s="161"/>
      <c r="H99" s="161"/>
      <c r="I99" s="161"/>
      <c r="J99" s="161"/>
      <c r="K99" s="161"/>
      <c r="L99" s="161"/>
      <c r="M99" s="161"/>
      <c r="N99" s="161"/>
      <c r="O99" s="161"/>
      <c r="P99" s="161"/>
      <c r="Q99" s="161"/>
      <c r="R99" s="219"/>
      <c r="S99" s="161"/>
      <c r="T99" s="161"/>
      <c r="U99" s="161"/>
      <c r="V99" s="161"/>
      <c r="W99" s="161"/>
      <c r="X99" s="161"/>
      <c r="Y99" s="161"/>
      <c r="Z99" s="161"/>
      <c r="AA99" s="161"/>
      <c r="AB99" s="161"/>
      <c r="AC99" s="161"/>
      <c r="AD99" s="161"/>
      <c r="AE99" s="161"/>
      <c r="AF99" s="161"/>
      <c r="AG99" s="161"/>
      <c r="AH99" s="161"/>
      <c r="AI99" s="161"/>
      <c r="AJ99" s="774"/>
      <c r="AK99" s="774"/>
      <c r="AL99" s="774"/>
      <c r="AM99" s="774"/>
      <c r="AN99" s="774"/>
      <c r="AO99" s="161"/>
      <c r="AP99" s="161"/>
      <c r="AQ99" s="161"/>
      <c r="AR99" s="161"/>
      <c r="AS99" s="161"/>
      <c r="AT99" s="161"/>
      <c r="AU99" s="161"/>
      <c r="AV99" s="161"/>
      <c r="AW99" s="161"/>
      <c r="AX99" s="161"/>
      <c r="AY99" s="161"/>
      <c r="AZ99" s="161"/>
      <c r="BA99" s="161"/>
      <c r="BB99" s="161"/>
      <c r="BC99" s="161"/>
      <c r="BD99" s="161"/>
      <c r="BE99" s="161"/>
      <c r="BF99" s="161"/>
      <c r="BG99" s="161"/>
      <c r="BH99" s="161"/>
      <c r="BI99" s="161"/>
      <c r="BJ99" s="161"/>
      <c r="BK99" s="161"/>
      <c r="BL99" s="161"/>
      <c r="BM99" s="161"/>
      <c r="BN99" s="161"/>
      <c r="BO99" s="161"/>
      <c r="BP99" s="161"/>
      <c r="BQ99" s="161"/>
      <c r="BR99" s="161"/>
      <c r="BS99" s="161"/>
      <c r="BT99" s="161"/>
      <c r="BU99" s="161"/>
      <c r="BV99" s="161"/>
      <c r="BW99" s="161"/>
      <c r="BX99" s="664"/>
    </row>
    <row r="100" ht="13.55" customHeight="1">
      <c r="A100" s="347"/>
      <c r="B100" s="161"/>
      <c r="C100" s="161"/>
      <c r="D100" s="161"/>
      <c r="E100" s="161"/>
      <c r="F100" s="161"/>
      <c r="G100" s="161"/>
      <c r="H100" s="161"/>
      <c r="I100" s="161"/>
      <c r="J100" s="161"/>
      <c r="K100" s="161"/>
      <c r="L100" s="161"/>
      <c r="M100" s="161"/>
      <c r="N100" s="161"/>
      <c r="O100" s="161"/>
      <c r="P100" s="161"/>
      <c r="Q100" s="161"/>
      <c r="R100" s="219"/>
      <c r="S100" s="161"/>
      <c r="T100" s="161"/>
      <c r="U100" s="161"/>
      <c r="V100" s="161"/>
      <c r="W100" s="161"/>
      <c r="X100" s="161"/>
      <c r="Y100" s="161"/>
      <c r="Z100" s="161"/>
      <c r="AA100" s="161"/>
      <c r="AB100" s="161"/>
      <c r="AC100" s="161"/>
      <c r="AD100" s="161"/>
      <c r="AE100" s="161"/>
      <c r="AF100" s="161"/>
      <c r="AG100" s="161"/>
      <c r="AH100" s="161"/>
      <c r="AI100" s="161"/>
      <c r="AJ100" s="774"/>
      <c r="AK100" s="774"/>
      <c r="AL100" s="774"/>
      <c r="AM100" s="774"/>
      <c r="AN100" s="774"/>
      <c r="AO100" s="161"/>
      <c r="AP100" s="161"/>
      <c r="AQ100" s="161"/>
      <c r="AR100" s="161"/>
      <c r="AS100" s="161"/>
      <c r="AT100" s="161"/>
      <c r="AU100" s="161"/>
      <c r="AV100" s="161"/>
      <c r="AW100" s="161"/>
      <c r="AX100" s="161"/>
      <c r="AY100" s="161"/>
      <c r="AZ100" s="161"/>
      <c r="BA100" s="161"/>
      <c r="BB100" s="161"/>
      <c r="BC100" s="161"/>
      <c r="BD100" s="161"/>
      <c r="BE100" s="161"/>
      <c r="BF100" s="161"/>
      <c r="BG100" s="161"/>
      <c r="BH100" s="161"/>
      <c r="BI100" s="161"/>
      <c r="BJ100" s="161"/>
      <c r="BK100" s="161"/>
      <c r="BL100" s="161"/>
      <c r="BM100" s="161"/>
      <c r="BN100" s="161"/>
      <c r="BO100" s="161"/>
      <c r="BP100" s="161"/>
      <c r="BQ100" s="161"/>
      <c r="BR100" s="161"/>
      <c r="BS100" s="161"/>
      <c r="BT100" s="161"/>
      <c r="BU100" s="161"/>
      <c r="BV100" s="161"/>
      <c r="BW100" s="161"/>
      <c r="BX100" s="664"/>
    </row>
    <row r="101" ht="15" customHeight="1">
      <c r="A101" s="347"/>
      <c r="B101" s="161"/>
      <c r="C101" s="378"/>
      <c r="D101" s="378"/>
      <c r="E101" s="378"/>
      <c r="F101" s="378"/>
      <c r="G101" s="378"/>
      <c r="H101" s="378"/>
      <c r="I101" s="378"/>
      <c r="J101" s="759"/>
      <c r="K101" s="161"/>
      <c r="L101" s="161"/>
      <c r="M101" s="161"/>
      <c r="N101" s="161"/>
      <c r="O101" s="161"/>
      <c r="P101" s="161"/>
      <c r="Q101" s="161"/>
      <c r="R101" s="219"/>
      <c r="S101" s="161"/>
      <c r="T101" s="161"/>
      <c r="U101" s="161"/>
      <c r="V101" s="161"/>
      <c r="W101" s="161"/>
      <c r="X101" s="161"/>
      <c r="Y101" s="161"/>
      <c r="Z101" s="161"/>
      <c r="AA101" s="161"/>
      <c r="AB101" s="161"/>
      <c r="AC101" s="161"/>
      <c r="AD101" s="161"/>
      <c r="AE101" s="161"/>
      <c r="AF101" s="161"/>
      <c r="AG101" s="161"/>
      <c r="AH101" s="161"/>
      <c r="AI101" s="161"/>
      <c r="AJ101" s="774"/>
      <c r="AK101" s="774"/>
      <c r="AL101" s="774"/>
      <c r="AM101" s="774"/>
      <c r="AN101" s="774"/>
      <c r="AO101" s="161"/>
      <c r="AP101" s="161"/>
      <c r="AQ101" s="161"/>
      <c r="AR101" s="161"/>
      <c r="AS101" s="161"/>
      <c r="AT101" s="161"/>
      <c r="AU101" s="161"/>
      <c r="AV101" s="161"/>
      <c r="AW101" s="161"/>
      <c r="AX101" s="161"/>
      <c r="AY101" s="161"/>
      <c r="AZ101" s="161"/>
      <c r="BA101" s="161"/>
      <c r="BB101" s="161"/>
      <c r="BC101" s="161"/>
      <c r="BD101" s="161"/>
      <c r="BE101" s="161"/>
      <c r="BF101" s="161"/>
      <c r="BG101" s="161"/>
      <c r="BH101" s="161"/>
      <c r="BI101" s="161"/>
      <c r="BJ101" s="161"/>
      <c r="BK101" s="161"/>
      <c r="BL101" s="161"/>
      <c r="BM101" s="161"/>
      <c r="BN101" s="161"/>
      <c r="BO101" s="161"/>
      <c r="BP101" s="161"/>
      <c r="BQ101" s="161"/>
      <c r="BR101" s="161"/>
      <c r="BS101" s="161"/>
      <c r="BT101" s="161"/>
      <c r="BU101" s="161"/>
      <c r="BV101" s="161"/>
      <c r="BW101" s="161"/>
      <c r="BX101" s="664"/>
    </row>
    <row r="102" ht="40.5" customHeight="1">
      <c r="A102" s="347"/>
      <c r="B102" s="381"/>
      <c r="C102" t="s" s="827">
        <v>200</v>
      </c>
      <c r="D102" t="s" s="828">
        <v>129</v>
      </c>
      <c r="E102" t="s" s="828">
        <v>333</v>
      </c>
      <c r="F102" t="s" s="828">
        <v>273</v>
      </c>
      <c r="G102" t="s" s="828">
        <v>274</v>
      </c>
      <c r="H102" t="s" s="828">
        <v>275</v>
      </c>
      <c r="I102" t="s" s="737">
        <v>276</v>
      </c>
      <c r="J102" s="380"/>
      <c r="K102" s="161"/>
      <c r="L102" s="161"/>
      <c r="M102" s="161"/>
      <c r="N102" s="161"/>
      <c r="O102" s="161"/>
      <c r="P102" s="161"/>
      <c r="Q102" s="161"/>
      <c r="R102" s="219"/>
      <c r="S102" s="161"/>
      <c r="T102" s="161"/>
      <c r="U102" s="161"/>
      <c r="V102" s="161"/>
      <c r="W102" s="161"/>
      <c r="X102" s="161"/>
      <c r="Y102" s="161"/>
      <c r="Z102" s="161"/>
      <c r="AA102" s="161"/>
      <c r="AB102" s="161"/>
      <c r="AC102" s="161"/>
      <c r="AD102" s="161"/>
      <c r="AE102" s="161"/>
      <c r="AF102" s="161"/>
      <c r="AG102" s="161"/>
      <c r="AH102" s="161"/>
      <c r="AI102" s="161"/>
      <c r="AJ102" s="774"/>
      <c r="AK102" s="774"/>
      <c r="AL102" s="774"/>
      <c r="AM102" s="774"/>
      <c r="AN102" s="774"/>
      <c r="AO102" s="161"/>
      <c r="AP102" s="161"/>
      <c r="AQ102" s="161"/>
      <c r="AR102" s="161"/>
      <c r="AS102" s="161"/>
      <c r="AT102" s="161"/>
      <c r="AU102" s="161"/>
      <c r="AV102" s="161"/>
      <c r="AW102" s="161"/>
      <c r="AX102" s="161"/>
      <c r="AY102" s="161"/>
      <c r="AZ102" s="161"/>
      <c r="BA102" s="161"/>
      <c r="BB102" s="161"/>
      <c r="BC102" s="161"/>
      <c r="BD102" s="161"/>
      <c r="BE102" s="161"/>
      <c r="BF102" s="161"/>
      <c r="BG102" s="161"/>
      <c r="BH102" s="161"/>
      <c r="BI102" s="161"/>
      <c r="BJ102" s="161"/>
      <c r="BK102" s="161"/>
      <c r="BL102" s="161"/>
      <c r="BM102" s="161"/>
      <c r="BN102" s="161"/>
      <c r="BO102" s="161"/>
      <c r="BP102" s="161"/>
      <c r="BQ102" s="161"/>
      <c r="BR102" s="161"/>
      <c r="BS102" s="161"/>
      <c r="BT102" s="161"/>
      <c r="BU102" s="161"/>
      <c r="BV102" s="161"/>
      <c r="BW102" s="161"/>
      <c r="BX102" s="664"/>
    </row>
    <row r="103" ht="30" customHeight="1">
      <c r="A103" s="347"/>
      <c r="B103" s="381"/>
      <c r="C103" t="s" s="829">
        <v>326</v>
      </c>
      <c r="D103" t="s" s="760">
        <v>287</v>
      </c>
      <c r="E103" t="s" s="830">
        <v>334</v>
      </c>
      <c r="F103" s="831">
        <f>SUMIF($D$11:$E$30,$E$103,$L$11:$L$30)</f>
      </c>
      <c r="G103" s="831">
        <f>IF($I$59+$I$86+$P$1=0,0,SUMIF($D$39:$D$58,$E$103,$L$39:$N$58)+SUMIF($F$66:$G$85,$E$103,$L$66:$L$85)+SUMIF($D$11:$E$30,$E$103,$AE$11:$AE$30))</f>
        <v>0</v>
      </c>
      <c r="H103" s="831">
        <f>$G$103-$F$103</f>
      </c>
      <c r="I103" s="742">
        <f>IF(AND($H$103&gt;=0,H104&gt;=0),"Yes ✓","No ▲")</f>
      </c>
      <c r="J103" s="380"/>
      <c r="K103" s="161"/>
      <c r="L103" s="161"/>
      <c r="M103" s="161"/>
      <c r="N103" s="161"/>
      <c r="O103" s="161"/>
      <c r="P103" s="161"/>
      <c r="Q103" s="161"/>
      <c r="R103" s="219"/>
      <c r="S103" s="161"/>
      <c r="T103" s="161"/>
      <c r="U103" s="161"/>
      <c r="V103" s="161"/>
      <c r="W103" s="161"/>
      <c r="X103" s="161"/>
      <c r="Y103" s="161"/>
      <c r="Z103" s="161"/>
      <c r="AA103" s="161"/>
      <c r="AB103" s="161"/>
      <c r="AC103" s="161"/>
      <c r="AD103" s="161"/>
      <c r="AE103" s="161"/>
      <c r="AF103" s="161"/>
      <c r="AG103" s="161"/>
      <c r="AH103" s="161"/>
      <c r="AI103" s="161"/>
      <c r="AJ103" s="774"/>
      <c r="AK103" s="774"/>
      <c r="AL103" s="774"/>
      <c r="AM103" s="774"/>
      <c r="AN103" s="774"/>
      <c r="AO103" s="161"/>
      <c r="AP103" s="161"/>
      <c r="AQ103" s="161"/>
      <c r="AR103" s="161"/>
      <c r="AS103" s="161"/>
      <c r="AT103" s="161"/>
      <c r="AU103" s="161"/>
      <c r="AV103" s="161"/>
      <c r="AW103" s="161"/>
      <c r="AX103" s="161"/>
      <c r="AY103" s="161"/>
      <c r="AZ103" s="161"/>
      <c r="BA103" s="161"/>
      <c r="BB103" s="161"/>
      <c r="BC103" s="161"/>
      <c r="BD103" s="161"/>
      <c r="BE103" s="161"/>
      <c r="BF103" s="161"/>
      <c r="BG103" s="161"/>
      <c r="BH103" s="161"/>
      <c r="BI103" s="161"/>
      <c r="BJ103" s="161"/>
      <c r="BK103" s="161"/>
      <c r="BL103" s="161"/>
      <c r="BM103" s="161"/>
      <c r="BN103" s="161"/>
      <c r="BO103" s="161"/>
      <c r="BP103" s="161"/>
      <c r="BQ103" s="161"/>
      <c r="BR103" s="161"/>
      <c r="BS103" s="161"/>
      <c r="BT103" s="161"/>
      <c r="BU103" s="161"/>
      <c r="BV103" s="161"/>
      <c r="BW103" s="161"/>
      <c r="BX103" s="664"/>
    </row>
    <row r="104" ht="30" customHeight="1">
      <c r="A104" s="347"/>
      <c r="B104" s="381"/>
      <c r="C104" s="832"/>
      <c r="D104" s="833"/>
      <c r="E104" t="s" s="631">
        <v>335</v>
      </c>
      <c r="F104" s="834">
        <f>SUMIF($D$11:$E$30,$E$104,$L$11:$L$30)</f>
      </c>
      <c r="G104" s="834">
        <f>IF($I$59+$I$86+$P$1=0,0,SUMIF($D$39:$D$58,$E$104,$L$39:$N$58)+SUMIF($F$66:$G$85,$E$104,$L$66:$L$85)+SUMIF($D$11:$E$30,$E$104,$AE$11:$AE$30))</f>
        <v>0</v>
      </c>
      <c r="H104" s="834">
        <f>$G$104-$F$104</f>
      </c>
      <c r="I104" s="747"/>
      <c r="J104" s="380"/>
      <c r="K104" s="161"/>
      <c r="L104" s="161"/>
      <c r="M104" s="161"/>
      <c r="N104" s="161"/>
      <c r="O104" s="161"/>
      <c r="P104" s="161"/>
      <c r="Q104" s="161"/>
      <c r="R104" s="219"/>
      <c r="S104" s="161"/>
      <c r="T104" s="161"/>
      <c r="U104" s="161"/>
      <c r="V104" s="161"/>
      <c r="W104" s="161"/>
      <c r="X104" s="161"/>
      <c r="Y104" s="161"/>
      <c r="Z104" s="161"/>
      <c r="AA104" s="161"/>
      <c r="AB104" s="161"/>
      <c r="AC104" s="161"/>
      <c r="AD104" s="161"/>
      <c r="AE104" s="161"/>
      <c r="AF104" s="161"/>
      <c r="AG104" s="161"/>
      <c r="AH104" s="161"/>
      <c r="AI104" s="161"/>
      <c r="AJ104" s="774"/>
      <c r="AK104" s="774"/>
      <c r="AL104" s="774"/>
      <c r="AM104" s="774"/>
      <c r="AN104" s="774"/>
      <c r="AO104" s="161"/>
      <c r="AP104" s="161"/>
      <c r="AQ104" s="161"/>
      <c r="AR104" s="161"/>
      <c r="AS104" s="161"/>
      <c r="AT104" s="161"/>
      <c r="AU104" s="161"/>
      <c r="AV104" s="161"/>
      <c r="AW104" s="161"/>
      <c r="AX104" s="161"/>
      <c r="AY104" s="161"/>
      <c r="AZ104" s="161"/>
      <c r="BA104" s="161"/>
      <c r="BB104" s="161"/>
      <c r="BC104" s="161"/>
      <c r="BD104" s="161"/>
      <c r="BE104" s="161"/>
      <c r="BF104" s="161"/>
      <c r="BG104" s="161"/>
      <c r="BH104" s="161"/>
      <c r="BI104" s="161"/>
      <c r="BJ104" s="161"/>
      <c r="BK104" s="161"/>
      <c r="BL104" s="161"/>
      <c r="BM104" s="161"/>
      <c r="BN104" s="161"/>
      <c r="BO104" s="161"/>
      <c r="BP104" s="161"/>
      <c r="BQ104" s="161"/>
      <c r="BR104" s="161"/>
      <c r="BS104" s="161"/>
      <c r="BT104" s="161"/>
      <c r="BU104" s="161"/>
      <c r="BV104" s="161"/>
      <c r="BW104" s="161"/>
      <c r="BX104" s="664"/>
    </row>
    <row r="105" ht="30" customHeight="1">
      <c r="A105" s="347"/>
      <c r="B105" s="381"/>
      <c r="C105" s="832"/>
      <c r="D105" s="835"/>
      <c r="E105" t="s" s="749">
        <v>312</v>
      </c>
      <c r="F105" s="750">
        <f>SUM(F103:F104)</f>
      </c>
      <c r="G105" s="750">
        <f>SUM(G103:G104)</f>
        <v>0</v>
      </c>
      <c r="H105" s="750">
        <f>SUM($H$103:$H$104)</f>
      </c>
      <c r="I105" s="751"/>
      <c r="J105" s="627">
        <f>IF($I$103="No ▲",1,0)</f>
      </c>
      <c r="K105" s="161"/>
      <c r="L105" s="161"/>
      <c r="M105" s="161"/>
      <c r="N105" s="161"/>
      <c r="O105" s="161"/>
      <c r="P105" s="161"/>
      <c r="Q105" s="161"/>
      <c r="R105" s="219"/>
      <c r="S105" s="161"/>
      <c r="T105" s="161"/>
      <c r="U105" s="161"/>
      <c r="V105" s="161"/>
      <c r="W105" s="161"/>
      <c r="X105" s="161"/>
      <c r="Y105" s="161"/>
      <c r="Z105" s="161"/>
      <c r="AA105" s="161"/>
      <c r="AB105" s="161"/>
      <c r="AC105" s="161"/>
      <c r="AD105" s="161"/>
      <c r="AE105" s="161"/>
      <c r="AF105" s="161"/>
      <c r="AG105" s="161"/>
      <c r="AH105" s="161"/>
      <c r="AI105" s="161"/>
      <c r="AJ105" s="774"/>
      <c r="AK105" s="774"/>
      <c r="AL105" s="774"/>
      <c r="AM105" s="774"/>
      <c r="AN105" s="774"/>
      <c r="AO105" s="161"/>
      <c r="AP105" s="161"/>
      <c r="AQ105" s="161"/>
      <c r="AR105" s="161"/>
      <c r="AS105" s="161"/>
      <c r="AT105" s="161"/>
      <c r="AU105" s="161"/>
      <c r="AV105" s="161"/>
      <c r="AW105" s="161"/>
      <c r="AX105" s="161"/>
      <c r="AY105" s="161"/>
      <c r="AZ105" s="161"/>
      <c r="BA105" s="161"/>
      <c r="BB105" s="161"/>
      <c r="BC105" s="161"/>
      <c r="BD105" s="161"/>
      <c r="BE105" s="161"/>
      <c r="BF105" s="161"/>
      <c r="BG105" s="161"/>
      <c r="BH105" s="161"/>
      <c r="BI105" s="161"/>
      <c r="BJ105" s="161"/>
      <c r="BK105" s="161"/>
      <c r="BL105" s="161"/>
      <c r="BM105" s="161"/>
      <c r="BN105" s="161"/>
      <c r="BO105" s="161"/>
      <c r="BP105" s="161"/>
      <c r="BQ105" s="161"/>
      <c r="BR105" s="161"/>
      <c r="BS105" s="161"/>
      <c r="BT105" s="161"/>
      <c r="BU105" s="161"/>
      <c r="BV105" s="161"/>
      <c r="BW105" s="161"/>
      <c r="BX105" s="664"/>
    </row>
    <row r="106" ht="30" customHeight="1">
      <c r="A106" s="347"/>
      <c r="B106" s="381"/>
      <c r="C106" s="836"/>
      <c r="D106" t="s" s="753">
        <v>289</v>
      </c>
      <c r="E106" t="s" s="837">
        <v>336</v>
      </c>
      <c r="F106" s="838">
        <f>SUMIF($D$11:$E$30,$E$106,$L$11:$L$30)</f>
      </c>
      <c r="G106" s="838">
        <f>IF($I$59+$I$86+$P$1=0,0,SUMIF($D$39:$D$58,$E$106,$L$39:$N$58)+SUMIF($F$66:$G$85,$E$106,$L$66:$L$85)+SUMIF($D$11:$E$30,$E$106,$AE$11:$AE$30))</f>
        <v>0</v>
      </c>
      <c r="H106" s="838">
        <f>$G$106-$F$106</f>
      </c>
      <c r="I106" s="756">
        <f>IF($G$107&gt;=0,"Yes ✓","No ▲")</f>
      </c>
      <c r="J106" s="627">
        <f>IF($I$106="No ▲",1,0)</f>
      </c>
      <c r="K106" s="161"/>
      <c r="L106" s="161"/>
      <c r="M106" s="161"/>
      <c r="N106" s="161"/>
      <c r="O106" s="161"/>
      <c r="P106" s="161"/>
      <c r="Q106" s="161"/>
      <c r="R106" s="219"/>
      <c r="S106" s="161"/>
      <c r="T106" s="161"/>
      <c r="U106" s="161"/>
      <c r="V106" s="161"/>
      <c r="W106" s="161"/>
      <c r="X106" s="161"/>
      <c r="Y106" s="161"/>
      <c r="Z106" s="161"/>
      <c r="AA106" s="161"/>
      <c r="AB106" s="161"/>
      <c r="AC106" s="161"/>
      <c r="AD106" s="161"/>
      <c r="AE106" s="161"/>
      <c r="AF106" s="161"/>
      <c r="AG106" s="161"/>
      <c r="AH106" s="161"/>
      <c r="AI106" s="161"/>
      <c r="AJ106" s="774"/>
      <c r="AK106" s="774"/>
      <c r="AL106" s="774"/>
      <c r="AM106" s="774"/>
      <c r="AN106" s="774"/>
      <c r="AO106" s="161"/>
      <c r="AP106" s="161"/>
      <c r="AQ106" s="161"/>
      <c r="AR106" s="161"/>
      <c r="AS106" s="161"/>
      <c r="AT106" s="161"/>
      <c r="AU106" s="161"/>
      <c r="AV106" s="161"/>
      <c r="AW106" s="161"/>
      <c r="AX106" s="161"/>
      <c r="AY106" s="161"/>
      <c r="AZ106" s="161"/>
      <c r="BA106" s="161"/>
      <c r="BB106" s="161"/>
      <c r="BC106" s="161"/>
      <c r="BD106" s="161"/>
      <c r="BE106" s="161"/>
      <c r="BF106" s="161"/>
      <c r="BG106" s="161"/>
      <c r="BH106" s="161"/>
      <c r="BI106" s="161"/>
      <c r="BJ106" s="161"/>
      <c r="BK106" s="161"/>
      <c r="BL106" s="161"/>
      <c r="BM106" s="161"/>
      <c r="BN106" s="161"/>
      <c r="BO106" s="161"/>
      <c r="BP106" s="161"/>
      <c r="BQ106" s="161"/>
      <c r="BR106" s="161"/>
      <c r="BS106" s="161"/>
      <c r="BT106" s="161"/>
      <c r="BU106" s="161"/>
      <c r="BV106" s="161"/>
      <c r="BW106" s="161"/>
      <c r="BX106" s="664"/>
    </row>
    <row r="107" ht="12" customHeight="1">
      <c r="A107" s="347"/>
      <c r="B107" s="161"/>
      <c r="C107" s="639"/>
      <c r="D107" s="639"/>
      <c r="E107" s="639"/>
      <c r="F107" s="639"/>
      <c r="G107" s="758">
        <f>IF(H105&gt;0,($H$105+$H$106),H106)</f>
      </c>
      <c r="H107" s="348"/>
      <c r="I107" s="348"/>
      <c r="J107" s="759"/>
      <c r="K107" s="161"/>
      <c r="L107" s="161"/>
      <c r="M107" s="161"/>
      <c r="N107" s="161"/>
      <c r="O107" s="161"/>
      <c r="P107" s="161"/>
      <c r="Q107" s="161"/>
      <c r="R107" s="219"/>
      <c r="S107" s="161"/>
      <c r="T107" s="161"/>
      <c r="U107" s="161"/>
      <c r="V107" s="161"/>
      <c r="W107" s="161"/>
      <c r="X107" s="161"/>
      <c r="Y107" s="161"/>
      <c r="Z107" s="161"/>
      <c r="AA107" s="161"/>
      <c r="AB107" s="161"/>
      <c r="AC107" s="161"/>
      <c r="AD107" s="161"/>
      <c r="AE107" s="161"/>
      <c r="AF107" s="161"/>
      <c r="AG107" s="161"/>
      <c r="AH107" s="161"/>
      <c r="AI107" s="161"/>
      <c r="AJ107" s="774"/>
      <c r="AK107" s="774"/>
      <c r="AL107" s="774"/>
      <c r="AM107" s="774"/>
      <c r="AN107" s="774"/>
      <c r="AO107" s="161"/>
      <c r="AP107" s="161"/>
      <c r="AQ107" s="161"/>
      <c r="AR107" s="161"/>
      <c r="AS107" s="161"/>
      <c r="AT107" s="161"/>
      <c r="AU107" s="161"/>
      <c r="AV107" s="161"/>
      <c r="AW107" s="161"/>
      <c r="AX107" s="161"/>
      <c r="AY107" s="161"/>
      <c r="AZ107" s="161"/>
      <c r="BA107" s="161"/>
      <c r="BB107" s="161"/>
      <c r="BC107" s="161"/>
      <c r="BD107" s="161"/>
      <c r="BE107" s="161"/>
      <c r="BF107" s="161"/>
      <c r="BG107" s="161"/>
      <c r="BH107" s="161"/>
      <c r="BI107" s="161"/>
      <c r="BJ107" s="161"/>
      <c r="BK107" s="161"/>
      <c r="BL107" s="161"/>
      <c r="BM107" s="161"/>
      <c r="BN107" s="161"/>
      <c r="BO107" s="161"/>
      <c r="BP107" s="161"/>
      <c r="BQ107" s="161"/>
      <c r="BR107" s="161"/>
      <c r="BS107" s="161"/>
      <c r="BT107" s="161"/>
      <c r="BU107" s="161"/>
      <c r="BV107" s="161"/>
      <c r="BW107" s="161"/>
      <c r="BX107" s="664"/>
    </row>
    <row r="108" ht="18.6" customHeight="1">
      <c r="A108" s="347"/>
      <c r="B108" s="381"/>
      <c r="C108" t="s" s="208">
        <v>337</v>
      </c>
      <c r="D108" s="839"/>
      <c r="E108" s="839"/>
      <c r="F108" s="839"/>
      <c r="G108" s="762">
        <f>$H$105</f>
      </c>
      <c r="H108" s="380"/>
      <c r="I108" s="161"/>
      <c r="J108" s="759"/>
      <c r="K108" s="161"/>
      <c r="L108" s="161"/>
      <c r="M108" s="161"/>
      <c r="N108" s="161"/>
      <c r="O108" s="161"/>
      <c r="P108" s="161"/>
      <c r="Q108" s="161"/>
      <c r="R108" s="219"/>
      <c r="S108" s="161"/>
      <c r="T108" s="161"/>
      <c r="U108" s="161"/>
      <c r="V108" s="161"/>
      <c r="W108" s="161"/>
      <c r="X108" s="161"/>
      <c r="Y108" s="161"/>
      <c r="Z108" s="161"/>
      <c r="AA108" s="161"/>
      <c r="AB108" s="161"/>
      <c r="AC108" s="161"/>
      <c r="AD108" s="161"/>
      <c r="AE108" s="161"/>
      <c r="AF108" s="161"/>
      <c r="AG108" s="161"/>
      <c r="AH108" s="161"/>
      <c r="AI108" s="161"/>
      <c r="AJ108" s="774"/>
      <c r="AK108" s="774"/>
      <c r="AL108" s="774"/>
      <c r="AM108" s="774"/>
      <c r="AN108" s="774"/>
      <c r="AO108" s="161"/>
      <c r="AP108" s="161"/>
      <c r="AQ108" s="161"/>
      <c r="AR108" s="161"/>
      <c r="AS108" s="161"/>
      <c r="AT108" s="161"/>
      <c r="AU108" s="161"/>
      <c r="AV108" s="161"/>
      <c r="AW108" s="161"/>
      <c r="AX108" s="161"/>
      <c r="AY108" s="161"/>
      <c r="AZ108" s="161"/>
      <c r="BA108" s="161"/>
      <c r="BB108" s="161"/>
      <c r="BC108" s="161"/>
      <c r="BD108" s="161"/>
      <c r="BE108" s="161"/>
      <c r="BF108" s="161"/>
      <c r="BG108" s="161"/>
      <c r="BH108" s="161"/>
      <c r="BI108" s="161"/>
      <c r="BJ108" s="161"/>
      <c r="BK108" s="161"/>
      <c r="BL108" s="161"/>
      <c r="BM108" s="161"/>
      <c r="BN108" s="161"/>
      <c r="BO108" s="161"/>
      <c r="BP108" s="161"/>
      <c r="BQ108" s="161"/>
      <c r="BR108" s="161"/>
      <c r="BS108" s="161"/>
      <c r="BT108" s="161"/>
      <c r="BU108" s="161"/>
      <c r="BV108" s="161"/>
      <c r="BW108" s="161"/>
      <c r="BX108" s="664"/>
    </row>
    <row r="109" ht="18.95" customHeight="1">
      <c r="A109" s="347"/>
      <c r="B109" s="381"/>
      <c r="C109" t="s" s="767">
        <v>338</v>
      </c>
      <c r="D109" s="768"/>
      <c r="E109" s="768"/>
      <c r="F109" s="768"/>
      <c r="G109" s="769">
        <f>IF($H$105&lt;=0,$H$106,($H$106+$H$105))</f>
      </c>
      <c r="H109" s="380"/>
      <c r="I109" s="161"/>
      <c r="J109" s="161"/>
      <c r="K109" s="161"/>
      <c r="L109" s="161"/>
      <c r="M109" s="161"/>
      <c r="N109" s="161"/>
      <c r="O109" s="161"/>
      <c r="P109" s="161"/>
      <c r="Q109" s="161"/>
      <c r="R109" s="219"/>
      <c r="S109" s="161"/>
      <c r="T109" s="161"/>
      <c r="U109" s="161"/>
      <c r="V109" s="161"/>
      <c r="W109" s="161"/>
      <c r="X109" s="161"/>
      <c r="Y109" s="161"/>
      <c r="Z109" s="161"/>
      <c r="AA109" s="161"/>
      <c r="AB109" s="161"/>
      <c r="AC109" s="161"/>
      <c r="AD109" s="161"/>
      <c r="AE109" s="161"/>
      <c r="AF109" s="161"/>
      <c r="AG109" s="161"/>
      <c r="AH109" s="161"/>
      <c r="AI109" s="161"/>
      <c r="AJ109" s="774"/>
      <c r="AK109" s="774"/>
      <c r="AL109" s="774"/>
      <c r="AM109" s="774"/>
      <c r="AN109" s="774"/>
      <c r="AO109" s="161"/>
      <c r="AP109" s="161"/>
      <c r="AQ109" s="161"/>
      <c r="AR109" s="161"/>
      <c r="AS109" s="161"/>
      <c r="AT109" s="161"/>
      <c r="AU109" s="161"/>
      <c r="AV109" s="161"/>
      <c r="AW109" s="161"/>
      <c r="AX109" s="161"/>
      <c r="AY109" s="161"/>
      <c r="AZ109" s="161"/>
      <c r="BA109" s="161"/>
      <c r="BB109" s="161"/>
      <c r="BC109" s="161"/>
      <c r="BD109" s="161"/>
      <c r="BE109" s="161"/>
      <c r="BF109" s="161"/>
      <c r="BG109" s="161"/>
      <c r="BH109" s="161"/>
      <c r="BI109" s="161"/>
      <c r="BJ109" s="161"/>
      <c r="BK109" s="161"/>
      <c r="BL109" s="161"/>
      <c r="BM109" s="161"/>
      <c r="BN109" s="161"/>
      <c r="BO109" s="161"/>
      <c r="BP109" s="161"/>
      <c r="BQ109" s="161"/>
      <c r="BR109" s="161"/>
      <c r="BS109" s="161"/>
      <c r="BT109" s="161"/>
      <c r="BU109" s="161"/>
      <c r="BV109" s="161"/>
      <c r="BW109" s="161"/>
      <c r="BX109" s="664"/>
    </row>
    <row r="110" ht="14.05" customHeight="1">
      <c r="A110" s="347"/>
      <c r="B110" s="161"/>
      <c r="C110" s="348"/>
      <c r="D110" s="348"/>
      <c r="E110" s="348"/>
      <c r="F110" s="348"/>
      <c r="G110" s="348"/>
      <c r="H110" s="161"/>
      <c r="I110" s="161"/>
      <c r="J110" s="161"/>
      <c r="K110" s="161"/>
      <c r="L110" s="161"/>
      <c r="M110" s="161"/>
      <c r="N110" s="161"/>
      <c r="O110" s="161"/>
      <c r="P110" s="161"/>
      <c r="Q110" s="161"/>
      <c r="R110" s="219"/>
      <c r="S110" s="161"/>
      <c r="T110" s="161"/>
      <c r="U110" s="161"/>
      <c r="V110" s="161"/>
      <c r="W110" s="161"/>
      <c r="X110" s="161"/>
      <c r="Y110" s="161"/>
      <c r="Z110" s="161"/>
      <c r="AA110" s="161"/>
      <c r="AB110" s="161"/>
      <c r="AC110" s="161"/>
      <c r="AD110" s="161"/>
      <c r="AE110" s="161"/>
      <c r="AF110" s="161"/>
      <c r="AG110" s="161"/>
      <c r="AH110" s="161"/>
      <c r="AI110" s="161"/>
      <c r="AJ110" s="774"/>
      <c r="AK110" s="774"/>
      <c r="AL110" s="774"/>
      <c r="AM110" s="774"/>
      <c r="AN110" s="774"/>
      <c r="AO110" s="161"/>
      <c r="AP110" s="161"/>
      <c r="AQ110" s="161"/>
      <c r="AR110" s="161"/>
      <c r="AS110" s="161"/>
      <c r="AT110" s="161"/>
      <c r="AU110" s="161"/>
      <c r="AV110" s="161"/>
      <c r="AW110" s="161"/>
      <c r="AX110" s="161"/>
      <c r="AY110" s="161"/>
      <c r="AZ110" s="161"/>
      <c r="BA110" s="161"/>
      <c r="BB110" s="161"/>
      <c r="BC110" s="161"/>
      <c r="BD110" s="161"/>
      <c r="BE110" s="161"/>
      <c r="BF110" s="161"/>
      <c r="BG110" s="161"/>
      <c r="BH110" s="161"/>
      <c r="BI110" s="161"/>
      <c r="BJ110" s="161"/>
      <c r="BK110" s="161"/>
      <c r="BL110" s="161"/>
      <c r="BM110" s="161"/>
      <c r="BN110" s="161"/>
      <c r="BO110" s="161"/>
      <c r="BP110" s="161"/>
      <c r="BQ110" s="161"/>
      <c r="BR110" s="161"/>
      <c r="BS110" s="161"/>
      <c r="BT110" s="161"/>
      <c r="BU110" s="161"/>
      <c r="BV110" s="161"/>
      <c r="BW110" s="161"/>
      <c r="BX110" s="664"/>
    </row>
    <row r="111" ht="13.55" customHeight="1">
      <c r="A111" s="347"/>
      <c r="B111" s="161"/>
      <c r="C111" s="161"/>
      <c r="D111" s="161"/>
      <c r="E111" s="161"/>
      <c r="F111" s="161"/>
      <c r="G111" s="161"/>
      <c r="H111" s="161"/>
      <c r="I111" s="161"/>
      <c r="J111" s="161"/>
      <c r="K111" s="161"/>
      <c r="L111" s="161"/>
      <c r="M111" s="161"/>
      <c r="N111" s="161"/>
      <c r="O111" s="161"/>
      <c r="P111" s="161"/>
      <c r="Q111" s="161"/>
      <c r="R111" s="219"/>
      <c r="S111" s="161"/>
      <c r="T111" s="161"/>
      <c r="U111" s="161"/>
      <c r="V111" s="161"/>
      <c r="W111" s="161"/>
      <c r="X111" s="161"/>
      <c r="Y111" s="161"/>
      <c r="Z111" s="161"/>
      <c r="AA111" s="161"/>
      <c r="AB111" s="161"/>
      <c r="AC111" s="161"/>
      <c r="AD111" s="161"/>
      <c r="AE111" s="161"/>
      <c r="AF111" s="161"/>
      <c r="AG111" s="161"/>
      <c r="AH111" s="161"/>
      <c r="AI111" s="161"/>
      <c r="AJ111" s="774"/>
      <c r="AK111" s="774"/>
      <c r="AL111" s="774"/>
      <c r="AM111" s="774"/>
      <c r="AN111" s="774"/>
      <c r="AO111" s="161"/>
      <c r="AP111" s="161"/>
      <c r="AQ111" s="161"/>
      <c r="AR111" s="161"/>
      <c r="AS111" s="161"/>
      <c r="AT111" s="161"/>
      <c r="AU111" s="161"/>
      <c r="AV111" s="161"/>
      <c r="AW111" s="161"/>
      <c r="AX111" s="161"/>
      <c r="AY111" s="161"/>
      <c r="AZ111" s="161"/>
      <c r="BA111" s="161"/>
      <c r="BB111" s="161"/>
      <c r="BC111" s="161"/>
      <c r="BD111" s="161"/>
      <c r="BE111" s="161"/>
      <c r="BF111" s="161"/>
      <c r="BG111" s="161"/>
      <c r="BH111" s="161"/>
      <c r="BI111" s="161"/>
      <c r="BJ111" s="161"/>
      <c r="BK111" s="161"/>
      <c r="BL111" s="161"/>
      <c r="BM111" s="161"/>
      <c r="BN111" s="161"/>
      <c r="BO111" s="161"/>
      <c r="BP111" s="161"/>
      <c r="BQ111" s="161"/>
      <c r="BR111" s="161"/>
      <c r="BS111" s="161"/>
      <c r="BT111" s="161"/>
      <c r="BU111" s="161"/>
      <c r="BV111" s="161"/>
      <c r="BW111" s="161"/>
      <c r="BX111" s="664"/>
    </row>
    <row r="112" ht="13.55" customHeight="1">
      <c r="A112" s="347"/>
      <c r="B112" s="161"/>
      <c r="C112" s="161"/>
      <c r="D112" s="161"/>
      <c r="E112" s="161"/>
      <c r="F112" s="161"/>
      <c r="G112" s="161"/>
      <c r="H112" s="161"/>
      <c r="I112" s="161"/>
      <c r="J112" s="161"/>
      <c r="K112" s="161"/>
      <c r="L112" s="161"/>
      <c r="M112" s="161"/>
      <c r="N112" s="161"/>
      <c r="O112" s="161"/>
      <c r="P112" s="161"/>
      <c r="Q112" s="161"/>
      <c r="R112" s="219"/>
      <c r="S112" s="161"/>
      <c r="T112" s="161"/>
      <c r="U112" s="161"/>
      <c r="V112" s="161"/>
      <c r="W112" s="161"/>
      <c r="X112" s="161"/>
      <c r="Y112" s="161"/>
      <c r="Z112" s="161"/>
      <c r="AA112" s="161"/>
      <c r="AB112" s="161"/>
      <c r="AC112" s="161"/>
      <c r="AD112" s="161"/>
      <c r="AE112" s="161"/>
      <c r="AF112" s="161"/>
      <c r="AG112" s="161"/>
      <c r="AH112" s="161"/>
      <c r="AI112" s="161"/>
      <c r="AJ112" s="774"/>
      <c r="AK112" s="774"/>
      <c r="AL112" s="774"/>
      <c r="AM112" s="774"/>
      <c r="AN112" s="774"/>
      <c r="AO112" s="161"/>
      <c r="AP112" s="161"/>
      <c r="AQ112" s="161"/>
      <c r="AR112" s="161"/>
      <c r="AS112" s="161"/>
      <c r="AT112" s="161"/>
      <c r="AU112" s="161"/>
      <c r="AV112" s="161"/>
      <c r="AW112" s="161"/>
      <c r="AX112" s="161"/>
      <c r="AY112" s="161"/>
      <c r="AZ112" s="161"/>
      <c r="BA112" s="161"/>
      <c r="BB112" s="161"/>
      <c r="BC112" s="161"/>
      <c r="BD112" s="161"/>
      <c r="BE112" s="161"/>
      <c r="BF112" s="161"/>
      <c r="BG112" s="161"/>
      <c r="BH112" s="161"/>
      <c r="BI112" s="161"/>
      <c r="BJ112" s="161"/>
      <c r="BK112" s="161"/>
      <c r="BL112" s="161"/>
      <c r="BM112" s="161"/>
      <c r="BN112" s="161"/>
      <c r="BO112" s="161"/>
      <c r="BP112" s="161"/>
      <c r="BQ112" s="161"/>
      <c r="BR112" s="161"/>
      <c r="BS112" s="161"/>
      <c r="BT112" s="161"/>
      <c r="BU112" s="161"/>
      <c r="BV112" s="161"/>
      <c r="BW112" s="161"/>
      <c r="BX112" s="664"/>
    </row>
    <row r="113" ht="13.55" customHeight="1">
      <c r="A113" s="347"/>
      <c r="B113" s="161"/>
      <c r="C113" s="161"/>
      <c r="D113" s="161"/>
      <c r="E113" s="161"/>
      <c r="F113" s="161"/>
      <c r="G113" s="161"/>
      <c r="H113" s="161"/>
      <c r="I113" s="161"/>
      <c r="J113" s="161"/>
      <c r="K113" s="161"/>
      <c r="L113" s="161"/>
      <c r="M113" s="161"/>
      <c r="N113" s="161"/>
      <c r="O113" s="161"/>
      <c r="P113" s="161"/>
      <c r="Q113" s="161"/>
      <c r="R113" s="219"/>
      <c r="S113" s="161"/>
      <c r="T113" s="161"/>
      <c r="U113" s="161"/>
      <c r="V113" s="161"/>
      <c r="W113" s="161"/>
      <c r="X113" s="161"/>
      <c r="Y113" s="161"/>
      <c r="Z113" s="161"/>
      <c r="AA113" s="161"/>
      <c r="AB113" s="161"/>
      <c r="AC113" s="161"/>
      <c r="AD113" s="161"/>
      <c r="AE113" s="161"/>
      <c r="AF113" s="161"/>
      <c r="AG113" s="161"/>
      <c r="AH113" s="161"/>
      <c r="AI113" s="161"/>
      <c r="AJ113" s="774"/>
      <c r="AK113" s="774"/>
      <c r="AL113" s="774"/>
      <c r="AM113" s="774"/>
      <c r="AN113" s="774"/>
      <c r="AO113" s="161"/>
      <c r="AP113" s="161"/>
      <c r="AQ113" s="161"/>
      <c r="AR113" s="161"/>
      <c r="AS113" s="161"/>
      <c r="AT113" s="161"/>
      <c r="AU113" s="161"/>
      <c r="AV113" s="161"/>
      <c r="AW113" s="161"/>
      <c r="AX113" s="161"/>
      <c r="AY113" s="161"/>
      <c r="AZ113" s="161"/>
      <c r="BA113" s="161"/>
      <c r="BB113" s="161"/>
      <c r="BC113" s="161"/>
      <c r="BD113" s="161"/>
      <c r="BE113" s="161"/>
      <c r="BF113" s="161"/>
      <c r="BG113" s="161"/>
      <c r="BH113" s="161"/>
      <c r="BI113" s="161"/>
      <c r="BJ113" s="161"/>
      <c r="BK113" s="161"/>
      <c r="BL113" s="161"/>
      <c r="BM113" s="161"/>
      <c r="BN113" s="161"/>
      <c r="BO113" s="161"/>
      <c r="BP113" s="161"/>
      <c r="BQ113" s="161"/>
      <c r="BR113" s="161"/>
      <c r="BS113" s="161"/>
      <c r="BT113" s="161"/>
      <c r="BU113" s="161"/>
      <c r="BV113" s="161"/>
      <c r="BW113" s="161"/>
      <c r="BX113" s="664"/>
    </row>
    <row r="114" ht="13.55" customHeight="1">
      <c r="A114" s="347"/>
      <c r="B114" s="161"/>
      <c r="C114" s="161"/>
      <c r="D114" s="161"/>
      <c r="E114" s="161"/>
      <c r="F114" s="161"/>
      <c r="G114" s="161"/>
      <c r="H114" s="161"/>
      <c r="I114" s="161"/>
      <c r="J114" s="161"/>
      <c r="K114" s="161"/>
      <c r="L114" s="161"/>
      <c r="M114" s="161"/>
      <c r="N114" s="161"/>
      <c r="O114" s="161"/>
      <c r="P114" s="161"/>
      <c r="Q114" s="161"/>
      <c r="R114" s="219"/>
      <c r="S114" s="161"/>
      <c r="T114" s="161"/>
      <c r="U114" s="161"/>
      <c r="V114" s="161"/>
      <c r="W114" s="161"/>
      <c r="X114" s="161"/>
      <c r="Y114" s="161"/>
      <c r="Z114" s="161"/>
      <c r="AA114" s="161"/>
      <c r="AB114" s="161"/>
      <c r="AC114" s="161"/>
      <c r="AD114" s="161"/>
      <c r="AE114" s="161"/>
      <c r="AF114" s="161"/>
      <c r="AG114" s="161"/>
      <c r="AH114" s="161"/>
      <c r="AI114" s="161"/>
      <c r="AJ114" s="774"/>
      <c r="AK114" s="774"/>
      <c r="AL114" s="774"/>
      <c r="AM114" s="774"/>
      <c r="AN114" s="774"/>
      <c r="AO114" s="161"/>
      <c r="AP114" s="161"/>
      <c r="AQ114" s="161"/>
      <c r="AR114" s="161"/>
      <c r="AS114" s="161"/>
      <c r="AT114" s="161"/>
      <c r="AU114" s="161"/>
      <c r="AV114" s="161"/>
      <c r="AW114" s="161"/>
      <c r="AX114" s="161"/>
      <c r="AY114" s="161"/>
      <c r="AZ114" s="161"/>
      <c r="BA114" s="161"/>
      <c r="BB114" s="161"/>
      <c r="BC114" s="161"/>
      <c r="BD114" s="161"/>
      <c r="BE114" s="161"/>
      <c r="BF114" s="161"/>
      <c r="BG114" s="161"/>
      <c r="BH114" s="161"/>
      <c r="BI114" s="161"/>
      <c r="BJ114" s="161"/>
      <c r="BK114" s="161"/>
      <c r="BL114" s="161"/>
      <c r="BM114" s="161"/>
      <c r="BN114" s="161"/>
      <c r="BO114" s="161"/>
      <c r="BP114" s="161"/>
      <c r="BQ114" s="161"/>
      <c r="BR114" s="161"/>
      <c r="BS114" s="161"/>
      <c r="BT114" s="161"/>
      <c r="BU114" s="161"/>
      <c r="BV114" s="161"/>
      <c r="BW114" s="161"/>
      <c r="BX114" s="664"/>
    </row>
    <row r="115" ht="13.55" customHeight="1">
      <c r="A115" s="347"/>
      <c r="B115" s="161"/>
      <c r="C115" s="161"/>
      <c r="D115" s="161"/>
      <c r="E115" s="161"/>
      <c r="F115" s="161"/>
      <c r="G115" s="161"/>
      <c r="H115" s="161"/>
      <c r="I115" s="161"/>
      <c r="J115" s="161"/>
      <c r="K115" s="161"/>
      <c r="L115" s="161"/>
      <c r="M115" s="161"/>
      <c r="N115" s="161"/>
      <c r="O115" s="161"/>
      <c r="P115" s="161"/>
      <c r="Q115" s="161"/>
      <c r="R115" s="219"/>
      <c r="S115" s="161"/>
      <c r="T115" s="161"/>
      <c r="U115" s="161"/>
      <c r="V115" s="161"/>
      <c r="W115" s="161"/>
      <c r="X115" s="161"/>
      <c r="Y115" s="161"/>
      <c r="Z115" s="161"/>
      <c r="AA115" s="161"/>
      <c r="AB115" s="161"/>
      <c r="AC115" s="161"/>
      <c r="AD115" s="161"/>
      <c r="AE115" s="161"/>
      <c r="AF115" s="161"/>
      <c r="AG115" s="161"/>
      <c r="AH115" s="161"/>
      <c r="AI115" s="161"/>
      <c r="AJ115" s="774"/>
      <c r="AK115" s="774"/>
      <c r="AL115" s="774"/>
      <c r="AM115" s="774"/>
      <c r="AN115" s="774"/>
      <c r="AO115" s="161"/>
      <c r="AP115" s="161"/>
      <c r="AQ115" s="161"/>
      <c r="AR115" s="161"/>
      <c r="AS115" s="161"/>
      <c r="AT115" s="161"/>
      <c r="AU115" s="161"/>
      <c r="AV115" s="161"/>
      <c r="AW115" s="161"/>
      <c r="AX115" s="161"/>
      <c r="AY115" s="161"/>
      <c r="AZ115" s="161"/>
      <c r="BA115" s="161"/>
      <c r="BB115" s="161"/>
      <c r="BC115" s="161"/>
      <c r="BD115" s="161"/>
      <c r="BE115" s="161"/>
      <c r="BF115" s="161"/>
      <c r="BG115" s="161"/>
      <c r="BH115" s="161"/>
      <c r="BI115" s="161"/>
      <c r="BJ115" s="161"/>
      <c r="BK115" s="161"/>
      <c r="BL115" s="161"/>
      <c r="BM115" s="161"/>
      <c r="BN115" s="161"/>
      <c r="BO115" s="161"/>
      <c r="BP115" s="161"/>
      <c r="BQ115" s="161"/>
      <c r="BR115" s="161"/>
      <c r="BS115" s="161"/>
      <c r="BT115" s="161"/>
      <c r="BU115" s="161"/>
      <c r="BV115" s="161"/>
      <c r="BW115" s="161"/>
      <c r="BX115" s="664"/>
    </row>
    <row r="116" ht="13.55" customHeight="1">
      <c r="A116" s="347"/>
      <c r="B116" s="161"/>
      <c r="C116" s="161"/>
      <c r="D116" s="161"/>
      <c r="E116" s="161"/>
      <c r="F116" s="161"/>
      <c r="G116" s="161"/>
      <c r="H116" s="161"/>
      <c r="I116" s="161"/>
      <c r="J116" s="161"/>
      <c r="K116" s="161"/>
      <c r="L116" s="161"/>
      <c r="M116" s="161"/>
      <c r="N116" s="161"/>
      <c r="O116" s="161"/>
      <c r="P116" s="161"/>
      <c r="Q116" s="161"/>
      <c r="R116" s="219"/>
      <c r="S116" s="161"/>
      <c r="T116" s="161"/>
      <c r="U116" s="161"/>
      <c r="V116" s="161"/>
      <c r="W116" s="161"/>
      <c r="X116" s="161"/>
      <c r="Y116" s="161"/>
      <c r="Z116" s="161"/>
      <c r="AA116" s="161"/>
      <c r="AB116" s="161"/>
      <c r="AC116" s="161"/>
      <c r="AD116" s="161"/>
      <c r="AE116" s="161"/>
      <c r="AF116" s="161"/>
      <c r="AG116" s="161"/>
      <c r="AH116" s="161"/>
      <c r="AI116" s="161"/>
      <c r="AJ116" s="774"/>
      <c r="AK116" s="774"/>
      <c r="AL116" s="774"/>
      <c r="AM116" s="774"/>
      <c r="AN116" s="774"/>
      <c r="AO116" s="161"/>
      <c r="AP116" s="161"/>
      <c r="AQ116" s="161"/>
      <c r="AR116" s="161"/>
      <c r="AS116" s="161"/>
      <c r="AT116" s="161"/>
      <c r="AU116" s="161"/>
      <c r="AV116" s="161"/>
      <c r="AW116" s="161"/>
      <c r="AX116" s="161"/>
      <c r="AY116" s="161"/>
      <c r="AZ116" s="161"/>
      <c r="BA116" s="161"/>
      <c r="BB116" s="161"/>
      <c r="BC116" s="161"/>
      <c r="BD116" s="161"/>
      <c r="BE116" s="161"/>
      <c r="BF116" s="161"/>
      <c r="BG116" s="161"/>
      <c r="BH116" s="161"/>
      <c r="BI116" s="161"/>
      <c r="BJ116" s="161"/>
      <c r="BK116" s="161"/>
      <c r="BL116" s="161"/>
      <c r="BM116" s="161"/>
      <c r="BN116" s="161"/>
      <c r="BO116" s="161"/>
      <c r="BP116" s="161"/>
      <c r="BQ116" s="161"/>
      <c r="BR116" s="161"/>
      <c r="BS116" s="161"/>
      <c r="BT116" s="161"/>
      <c r="BU116" s="161"/>
      <c r="BV116" s="161"/>
      <c r="BW116" s="161"/>
      <c r="BX116" s="664"/>
    </row>
    <row r="117" ht="13.55" customHeight="1">
      <c r="A117" s="347"/>
      <c r="B117" s="161"/>
      <c r="C117" s="161"/>
      <c r="D117" s="161"/>
      <c r="E117" s="161"/>
      <c r="F117" s="161"/>
      <c r="G117" s="161"/>
      <c r="H117" s="161"/>
      <c r="I117" s="161"/>
      <c r="J117" s="161"/>
      <c r="K117" s="161"/>
      <c r="L117" s="161"/>
      <c r="M117" s="161"/>
      <c r="N117" s="161"/>
      <c r="O117" s="161"/>
      <c r="P117" s="161"/>
      <c r="Q117" s="161"/>
      <c r="R117" s="219"/>
      <c r="S117" s="161"/>
      <c r="T117" s="161"/>
      <c r="U117" s="161"/>
      <c r="V117" s="161"/>
      <c r="W117" s="161"/>
      <c r="X117" s="161"/>
      <c r="Y117" s="161"/>
      <c r="Z117" s="161"/>
      <c r="AA117" s="161"/>
      <c r="AB117" s="161"/>
      <c r="AC117" s="161"/>
      <c r="AD117" s="161"/>
      <c r="AE117" s="161"/>
      <c r="AF117" s="161"/>
      <c r="AG117" s="161"/>
      <c r="AH117" s="161"/>
      <c r="AI117" s="161"/>
      <c r="AJ117" s="774"/>
      <c r="AK117" s="774"/>
      <c r="AL117" s="774"/>
      <c r="AM117" s="774"/>
      <c r="AN117" s="774"/>
      <c r="AO117" s="161"/>
      <c r="AP117" s="161"/>
      <c r="AQ117" s="161"/>
      <c r="AR117" s="161"/>
      <c r="AS117" s="161"/>
      <c r="AT117" s="161"/>
      <c r="AU117" s="161"/>
      <c r="AV117" s="161"/>
      <c r="AW117" s="161"/>
      <c r="AX117" s="161"/>
      <c r="AY117" s="161"/>
      <c r="AZ117" s="161"/>
      <c r="BA117" s="161"/>
      <c r="BB117" s="161"/>
      <c r="BC117" s="161"/>
      <c r="BD117" s="161"/>
      <c r="BE117" s="161"/>
      <c r="BF117" s="161"/>
      <c r="BG117" s="161"/>
      <c r="BH117" s="161"/>
      <c r="BI117" s="161"/>
      <c r="BJ117" s="161"/>
      <c r="BK117" s="161"/>
      <c r="BL117" s="161"/>
      <c r="BM117" s="161"/>
      <c r="BN117" s="161"/>
      <c r="BO117" s="161"/>
      <c r="BP117" s="161"/>
      <c r="BQ117" s="161"/>
      <c r="BR117" s="161"/>
      <c r="BS117" s="161"/>
      <c r="BT117" s="161"/>
      <c r="BU117" s="161"/>
      <c r="BV117" s="161"/>
      <c r="BW117" s="161"/>
      <c r="BX117" s="664"/>
    </row>
    <row r="118" ht="13.55" customHeight="1">
      <c r="A118" s="347"/>
      <c r="B118" s="161"/>
      <c r="C118" s="161"/>
      <c r="D118" s="161"/>
      <c r="E118" s="161"/>
      <c r="F118" s="161"/>
      <c r="G118" s="161"/>
      <c r="H118" s="161"/>
      <c r="I118" s="161"/>
      <c r="J118" s="161"/>
      <c r="K118" s="161"/>
      <c r="L118" s="161"/>
      <c r="M118" s="161"/>
      <c r="N118" s="161"/>
      <c r="O118" s="161"/>
      <c r="P118" s="161"/>
      <c r="Q118" s="161"/>
      <c r="R118" s="219"/>
      <c r="S118" s="161"/>
      <c r="T118" s="161"/>
      <c r="U118" s="161"/>
      <c r="V118" s="161"/>
      <c r="W118" s="161"/>
      <c r="X118" s="161"/>
      <c r="Y118" s="161"/>
      <c r="Z118" s="161"/>
      <c r="AA118" s="161"/>
      <c r="AB118" s="161"/>
      <c r="AC118" s="161"/>
      <c r="AD118" s="161"/>
      <c r="AE118" s="161"/>
      <c r="AF118" s="161"/>
      <c r="AG118" s="161"/>
      <c r="AH118" s="161"/>
      <c r="AI118" s="161"/>
      <c r="AJ118" s="774"/>
      <c r="AK118" s="774"/>
      <c r="AL118" s="774"/>
      <c r="AM118" s="774"/>
      <c r="AN118" s="774"/>
      <c r="AO118" s="161"/>
      <c r="AP118" s="161"/>
      <c r="AQ118" s="161"/>
      <c r="AR118" s="161"/>
      <c r="AS118" s="161"/>
      <c r="AT118" s="161"/>
      <c r="AU118" s="161"/>
      <c r="AV118" s="161"/>
      <c r="AW118" s="161"/>
      <c r="AX118" s="161"/>
      <c r="AY118" s="161"/>
      <c r="AZ118" s="161"/>
      <c r="BA118" s="161"/>
      <c r="BB118" s="161"/>
      <c r="BC118" s="161"/>
      <c r="BD118" s="161"/>
      <c r="BE118" s="161"/>
      <c r="BF118" s="161"/>
      <c r="BG118" s="161"/>
      <c r="BH118" s="161"/>
      <c r="BI118" s="161"/>
      <c r="BJ118" s="161"/>
      <c r="BK118" s="161"/>
      <c r="BL118" s="161"/>
      <c r="BM118" s="161"/>
      <c r="BN118" s="161"/>
      <c r="BO118" s="161"/>
      <c r="BP118" s="161"/>
      <c r="BQ118" s="161"/>
      <c r="BR118" s="161"/>
      <c r="BS118" s="161"/>
      <c r="BT118" s="161"/>
      <c r="BU118" s="161"/>
      <c r="BV118" s="161"/>
      <c r="BW118" s="161"/>
      <c r="BX118" s="664"/>
    </row>
    <row r="119" ht="13.55" customHeight="1">
      <c r="A119" s="347"/>
      <c r="B119" s="161"/>
      <c r="C119" s="161"/>
      <c r="D119" s="161"/>
      <c r="E119" s="161"/>
      <c r="F119" s="161"/>
      <c r="G119" s="161"/>
      <c r="H119" s="161"/>
      <c r="I119" s="161"/>
      <c r="J119" s="161"/>
      <c r="K119" s="161"/>
      <c r="L119" s="161"/>
      <c r="M119" s="161"/>
      <c r="N119" s="161"/>
      <c r="O119" s="161"/>
      <c r="P119" s="161"/>
      <c r="Q119" s="161"/>
      <c r="R119" s="219"/>
      <c r="S119" s="161"/>
      <c r="T119" s="161"/>
      <c r="U119" s="161"/>
      <c r="V119" s="161"/>
      <c r="W119" s="161"/>
      <c r="X119" s="161"/>
      <c r="Y119" s="161"/>
      <c r="Z119" s="161"/>
      <c r="AA119" s="161"/>
      <c r="AB119" s="161"/>
      <c r="AC119" s="161"/>
      <c r="AD119" s="161"/>
      <c r="AE119" s="161"/>
      <c r="AF119" s="161"/>
      <c r="AG119" s="161"/>
      <c r="AH119" s="161"/>
      <c r="AI119" s="161"/>
      <c r="AJ119" s="774"/>
      <c r="AK119" s="774"/>
      <c r="AL119" s="774"/>
      <c r="AM119" s="774"/>
      <c r="AN119" s="774"/>
      <c r="AO119" s="161"/>
      <c r="AP119" s="161"/>
      <c r="AQ119" s="161"/>
      <c r="AR119" s="161"/>
      <c r="AS119" s="161"/>
      <c r="AT119" s="161"/>
      <c r="AU119" s="161"/>
      <c r="AV119" s="161"/>
      <c r="AW119" s="161"/>
      <c r="AX119" s="161"/>
      <c r="AY119" s="161"/>
      <c r="AZ119" s="161"/>
      <c r="BA119" s="161"/>
      <c r="BB119" s="161"/>
      <c r="BC119" s="161"/>
      <c r="BD119" s="161"/>
      <c r="BE119" s="161"/>
      <c r="BF119" s="161"/>
      <c r="BG119" s="161"/>
      <c r="BH119" s="161"/>
      <c r="BI119" s="161"/>
      <c r="BJ119" s="161"/>
      <c r="BK119" s="161"/>
      <c r="BL119" s="161"/>
      <c r="BM119" s="161"/>
      <c r="BN119" s="161"/>
      <c r="BO119" s="161"/>
      <c r="BP119" s="161"/>
      <c r="BQ119" s="161"/>
      <c r="BR119" s="161"/>
      <c r="BS119" s="161"/>
      <c r="BT119" s="161"/>
      <c r="BU119" s="161"/>
      <c r="BV119" s="161"/>
      <c r="BW119" s="161"/>
      <c r="BX119" s="664"/>
    </row>
    <row r="120" ht="13.55" customHeight="1">
      <c r="A120" s="347"/>
      <c r="B120" s="161"/>
      <c r="C120" s="161"/>
      <c r="D120" s="161"/>
      <c r="E120" s="161"/>
      <c r="F120" s="161"/>
      <c r="G120" s="161"/>
      <c r="H120" s="161"/>
      <c r="I120" s="161"/>
      <c r="J120" s="161"/>
      <c r="K120" s="161"/>
      <c r="L120" s="161"/>
      <c r="M120" s="161"/>
      <c r="N120" s="161"/>
      <c r="O120" s="161"/>
      <c r="P120" s="161"/>
      <c r="Q120" s="161"/>
      <c r="R120" s="219"/>
      <c r="S120" s="161"/>
      <c r="T120" s="161"/>
      <c r="U120" s="161"/>
      <c r="V120" s="161"/>
      <c r="W120" s="161"/>
      <c r="X120" s="161"/>
      <c r="Y120" s="161"/>
      <c r="Z120" s="161"/>
      <c r="AA120" s="161"/>
      <c r="AB120" s="161"/>
      <c r="AC120" s="161"/>
      <c r="AD120" s="161"/>
      <c r="AE120" s="161"/>
      <c r="AF120" s="161"/>
      <c r="AG120" s="161"/>
      <c r="AH120" s="161"/>
      <c r="AI120" s="161"/>
      <c r="AJ120" s="774"/>
      <c r="AK120" s="774"/>
      <c r="AL120" s="774"/>
      <c r="AM120" s="774"/>
      <c r="AN120" s="774"/>
      <c r="AO120" s="161"/>
      <c r="AP120" s="161"/>
      <c r="AQ120" s="161"/>
      <c r="AR120" s="161"/>
      <c r="AS120" s="161"/>
      <c r="AT120" s="161"/>
      <c r="AU120" s="161"/>
      <c r="AV120" s="161"/>
      <c r="AW120" s="161"/>
      <c r="AX120" s="161"/>
      <c r="AY120" s="161"/>
      <c r="AZ120" s="161"/>
      <c r="BA120" s="161"/>
      <c r="BB120" s="161"/>
      <c r="BC120" s="161"/>
      <c r="BD120" s="161"/>
      <c r="BE120" s="161"/>
      <c r="BF120" s="161"/>
      <c r="BG120" s="161"/>
      <c r="BH120" s="161"/>
      <c r="BI120" s="161"/>
      <c r="BJ120" s="161"/>
      <c r="BK120" s="161"/>
      <c r="BL120" s="161"/>
      <c r="BM120" s="161"/>
      <c r="BN120" s="161"/>
      <c r="BO120" s="161"/>
      <c r="BP120" s="161"/>
      <c r="BQ120" s="161"/>
      <c r="BR120" s="161"/>
      <c r="BS120" s="161"/>
      <c r="BT120" s="161"/>
      <c r="BU120" s="161"/>
      <c r="BV120" s="161"/>
      <c r="BW120" s="161"/>
      <c r="BX120" s="664"/>
    </row>
    <row r="121" ht="13.55" customHeight="1">
      <c r="A121" s="347"/>
      <c r="B121" s="161"/>
      <c r="C121" s="161"/>
      <c r="D121" s="161"/>
      <c r="E121" s="161"/>
      <c r="F121" s="161"/>
      <c r="G121" s="161"/>
      <c r="H121" s="161"/>
      <c r="I121" s="161"/>
      <c r="J121" s="161"/>
      <c r="K121" s="161"/>
      <c r="L121" s="161"/>
      <c r="M121" s="161"/>
      <c r="N121" s="161"/>
      <c r="O121" s="161"/>
      <c r="P121" s="161"/>
      <c r="Q121" s="161"/>
      <c r="R121" s="219"/>
      <c r="S121" s="161"/>
      <c r="T121" s="161"/>
      <c r="U121" s="161"/>
      <c r="V121" s="161"/>
      <c r="W121" s="161"/>
      <c r="X121" s="161"/>
      <c r="Y121" s="161"/>
      <c r="Z121" s="161"/>
      <c r="AA121" s="161"/>
      <c r="AB121" s="161"/>
      <c r="AC121" s="161"/>
      <c r="AD121" s="161"/>
      <c r="AE121" s="161"/>
      <c r="AF121" s="161"/>
      <c r="AG121" s="161"/>
      <c r="AH121" s="161"/>
      <c r="AI121" s="161"/>
      <c r="AJ121" s="774"/>
      <c r="AK121" s="774"/>
      <c r="AL121" s="774"/>
      <c r="AM121" s="774"/>
      <c r="AN121" s="774"/>
      <c r="AO121" s="161"/>
      <c r="AP121" s="161"/>
      <c r="AQ121" s="161"/>
      <c r="AR121" s="161"/>
      <c r="AS121" s="161"/>
      <c r="AT121" s="161"/>
      <c r="AU121" s="161"/>
      <c r="AV121" s="161"/>
      <c r="AW121" s="161"/>
      <c r="AX121" s="161"/>
      <c r="AY121" s="161"/>
      <c r="AZ121" s="161"/>
      <c r="BA121" s="161"/>
      <c r="BB121" s="161"/>
      <c r="BC121" s="161"/>
      <c r="BD121" s="161"/>
      <c r="BE121" s="161"/>
      <c r="BF121" s="161"/>
      <c r="BG121" s="161"/>
      <c r="BH121" s="161"/>
      <c r="BI121" s="161"/>
      <c r="BJ121" s="161"/>
      <c r="BK121" s="161"/>
      <c r="BL121" s="161"/>
      <c r="BM121" s="161"/>
      <c r="BN121" s="161"/>
      <c r="BO121" s="161"/>
      <c r="BP121" s="161"/>
      <c r="BQ121" s="161"/>
      <c r="BR121" s="161"/>
      <c r="BS121" s="161"/>
      <c r="BT121" s="161"/>
      <c r="BU121" s="161"/>
      <c r="BV121" s="161"/>
      <c r="BW121" s="161"/>
      <c r="BX121" s="664"/>
    </row>
    <row r="122" ht="13.55" customHeight="1">
      <c r="A122" s="347"/>
      <c r="B122" s="161"/>
      <c r="C122" s="161"/>
      <c r="D122" s="161"/>
      <c r="E122" s="161"/>
      <c r="F122" s="161"/>
      <c r="G122" s="161"/>
      <c r="H122" s="161"/>
      <c r="I122" s="161"/>
      <c r="J122" s="161"/>
      <c r="K122" s="161"/>
      <c r="L122" s="161"/>
      <c r="M122" s="161"/>
      <c r="N122" s="161"/>
      <c r="O122" s="161"/>
      <c r="P122" s="161"/>
      <c r="Q122" s="161"/>
      <c r="R122" s="219"/>
      <c r="S122" s="161"/>
      <c r="T122" s="161"/>
      <c r="U122" s="161"/>
      <c r="V122" s="161"/>
      <c r="W122" s="161"/>
      <c r="X122" s="161"/>
      <c r="Y122" s="161"/>
      <c r="Z122" s="161"/>
      <c r="AA122" s="161"/>
      <c r="AB122" s="161"/>
      <c r="AC122" s="161"/>
      <c r="AD122" s="161"/>
      <c r="AE122" s="161"/>
      <c r="AF122" s="161"/>
      <c r="AG122" s="161"/>
      <c r="AH122" s="161"/>
      <c r="AI122" s="161"/>
      <c r="AJ122" s="774"/>
      <c r="AK122" s="774"/>
      <c r="AL122" s="774"/>
      <c r="AM122" s="774"/>
      <c r="AN122" s="774"/>
      <c r="AO122" s="161"/>
      <c r="AP122" s="161"/>
      <c r="AQ122" s="161"/>
      <c r="AR122" s="161"/>
      <c r="AS122" s="161"/>
      <c r="AT122" s="161"/>
      <c r="AU122" s="161"/>
      <c r="AV122" s="161"/>
      <c r="AW122" s="161"/>
      <c r="AX122" s="161"/>
      <c r="AY122" s="161"/>
      <c r="AZ122" s="161"/>
      <c r="BA122" s="161"/>
      <c r="BB122" s="161"/>
      <c r="BC122" s="161"/>
      <c r="BD122" s="161"/>
      <c r="BE122" s="161"/>
      <c r="BF122" s="161"/>
      <c r="BG122" s="161"/>
      <c r="BH122" s="161"/>
      <c r="BI122" s="161"/>
      <c r="BJ122" s="161"/>
      <c r="BK122" s="161"/>
      <c r="BL122" s="161"/>
      <c r="BM122" s="161"/>
      <c r="BN122" s="161"/>
      <c r="BO122" s="161"/>
      <c r="BP122" s="161"/>
      <c r="BQ122" s="161"/>
      <c r="BR122" s="161"/>
      <c r="BS122" s="161"/>
      <c r="BT122" s="161"/>
      <c r="BU122" s="161"/>
      <c r="BV122" s="161"/>
      <c r="BW122" s="161"/>
      <c r="BX122" s="664"/>
    </row>
    <row r="123" ht="13.55" customHeight="1">
      <c r="A123" s="347"/>
      <c r="B123" s="161"/>
      <c r="C123" s="161"/>
      <c r="D123" s="161"/>
      <c r="E123" s="161"/>
      <c r="F123" s="161"/>
      <c r="G123" s="161"/>
      <c r="H123" s="161"/>
      <c r="I123" s="161"/>
      <c r="J123" s="161"/>
      <c r="K123" s="161"/>
      <c r="L123" s="161"/>
      <c r="M123" s="161"/>
      <c r="N123" s="161"/>
      <c r="O123" s="161"/>
      <c r="P123" s="161"/>
      <c r="Q123" s="161"/>
      <c r="R123" s="219"/>
      <c r="S123" s="161"/>
      <c r="T123" s="161"/>
      <c r="U123" s="161"/>
      <c r="V123" s="161"/>
      <c r="W123" s="161"/>
      <c r="X123" s="161"/>
      <c r="Y123" s="161"/>
      <c r="Z123" s="161"/>
      <c r="AA123" s="161"/>
      <c r="AB123" s="161"/>
      <c r="AC123" s="161"/>
      <c r="AD123" s="161"/>
      <c r="AE123" s="161"/>
      <c r="AF123" s="161"/>
      <c r="AG123" s="161"/>
      <c r="AH123" s="161"/>
      <c r="AI123" s="161"/>
      <c r="AJ123" s="774"/>
      <c r="AK123" s="774"/>
      <c r="AL123" s="774"/>
      <c r="AM123" s="774"/>
      <c r="AN123" s="774"/>
      <c r="AO123" s="161"/>
      <c r="AP123" s="161"/>
      <c r="AQ123" s="161"/>
      <c r="AR123" s="161"/>
      <c r="AS123" s="161"/>
      <c r="AT123" s="161"/>
      <c r="AU123" s="161"/>
      <c r="AV123" s="161"/>
      <c r="AW123" s="161"/>
      <c r="AX123" s="161"/>
      <c r="AY123" s="161"/>
      <c r="AZ123" s="161"/>
      <c r="BA123" s="161"/>
      <c r="BB123" s="161"/>
      <c r="BC123" s="161"/>
      <c r="BD123" s="161"/>
      <c r="BE123" s="161"/>
      <c r="BF123" s="161"/>
      <c r="BG123" s="161"/>
      <c r="BH123" s="161"/>
      <c r="BI123" s="161"/>
      <c r="BJ123" s="161"/>
      <c r="BK123" s="161"/>
      <c r="BL123" s="161"/>
      <c r="BM123" s="161"/>
      <c r="BN123" s="161"/>
      <c r="BO123" s="161"/>
      <c r="BP123" s="161"/>
      <c r="BQ123" s="161"/>
      <c r="BR123" s="161"/>
      <c r="BS123" s="161"/>
      <c r="BT123" s="161"/>
      <c r="BU123" s="161"/>
      <c r="BV123" s="161"/>
      <c r="BW123" s="161"/>
      <c r="BX123" s="664"/>
    </row>
    <row r="124" ht="13.55" customHeight="1">
      <c r="A124" s="347"/>
      <c r="B124" s="161"/>
      <c r="C124" s="161"/>
      <c r="D124" s="161"/>
      <c r="E124" s="161"/>
      <c r="F124" s="161"/>
      <c r="G124" s="161"/>
      <c r="H124" s="161"/>
      <c r="I124" s="161"/>
      <c r="J124" s="161"/>
      <c r="K124" s="161"/>
      <c r="L124" s="161"/>
      <c r="M124" s="161"/>
      <c r="N124" s="161"/>
      <c r="O124" s="161"/>
      <c r="P124" s="161"/>
      <c r="Q124" s="161"/>
      <c r="R124" s="219"/>
      <c r="S124" s="161"/>
      <c r="T124" s="161"/>
      <c r="U124" s="161"/>
      <c r="V124" s="161"/>
      <c r="W124" s="161"/>
      <c r="X124" s="161"/>
      <c r="Y124" s="161"/>
      <c r="Z124" s="161"/>
      <c r="AA124" s="161"/>
      <c r="AB124" s="161"/>
      <c r="AC124" s="161"/>
      <c r="AD124" s="161"/>
      <c r="AE124" s="161"/>
      <c r="AF124" s="161"/>
      <c r="AG124" s="161"/>
      <c r="AH124" s="161"/>
      <c r="AI124" s="161"/>
      <c r="AJ124" s="774"/>
      <c r="AK124" s="774"/>
      <c r="AL124" s="774"/>
      <c r="AM124" s="774"/>
      <c r="AN124" s="774"/>
      <c r="AO124" s="161"/>
      <c r="AP124" s="161"/>
      <c r="AQ124" s="161"/>
      <c r="AR124" s="161"/>
      <c r="AS124" s="161"/>
      <c r="AT124" s="161"/>
      <c r="AU124" s="161"/>
      <c r="AV124" s="161"/>
      <c r="AW124" s="161"/>
      <c r="AX124" s="161"/>
      <c r="AY124" s="161"/>
      <c r="AZ124" s="161"/>
      <c r="BA124" s="161"/>
      <c r="BB124" s="161"/>
      <c r="BC124" s="161"/>
      <c r="BD124" s="161"/>
      <c r="BE124" s="161"/>
      <c r="BF124" s="161"/>
      <c r="BG124" s="161"/>
      <c r="BH124" s="161"/>
      <c r="BI124" s="161"/>
      <c r="BJ124" s="161"/>
      <c r="BK124" s="161"/>
      <c r="BL124" s="161"/>
      <c r="BM124" s="161"/>
      <c r="BN124" s="161"/>
      <c r="BO124" s="161"/>
      <c r="BP124" s="161"/>
      <c r="BQ124" s="161"/>
      <c r="BR124" s="161"/>
      <c r="BS124" s="161"/>
      <c r="BT124" s="161"/>
      <c r="BU124" s="161"/>
      <c r="BV124" s="161"/>
      <c r="BW124" s="161"/>
      <c r="BX124" s="664"/>
    </row>
    <row r="125" ht="13.55" customHeight="1">
      <c r="A125" s="347"/>
      <c r="B125" s="161"/>
      <c r="C125" s="161"/>
      <c r="D125" s="161"/>
      <c r="E125" s="161"/>
      <c r="F125" s="161"/>
      <c r="G125" s="161"/>
      <c r="H125" s="161"/>
      <c r="I125" s="161"/>
      <c r="J125" s="161"/>
      <c r="K125" s="161"/>
      <c r="L125" s="161"/>
      <c r="M125" s="161"/>
      <c r="N125" s="161"/>
      <c r="O125" s="161"/>
      <c r="P125" s="161"/>
      <c r="Q125" s="161"/>
      <c r="R125" s="219"/>
      <c r="S125" s="161"/>
      <c r="T125" s="161"/>
      <c r="U125" s="161"/>
      <c r="V125" s="161"/>
      <c r="W125" s="161"/>
      <c r="X125" s="161"/>
      <c r="Y125" s="161"/>
      <c r="Z125" s="161"/>
      <c r="AA125" s="161"/>
      <c r="AB125" s="161"/>
      <c r="AC125" s="161"/>
      <c r="AD125" s="161"/>
      <c r="AE125" s="161"/>
      <c r="AF125" s="161"/>
      <c r="AG125" s="161"/>
      <c r="AH125" s="161"/>
      <c r="AI125" s="161"/>
      <c r="AJ125" s="774"/>
      <c r="AK125" s="774"/>
      <c r="AL125" s="774"/>
      <c r="AM125" s="774"/>
      <c r="AN125" s="774"/>
      <c r="AO125" s="161"/>
      <c r="AP125" s="161"/>
      <c r="AQ125" s="161"/>
      <c r="AR125" s="161"/>
      <c r="AS125" s="161"/>
      <c r="AT125" s="161"/>
      <c r="AU125" s="161"/>
      <c r="AV125" s="161"/>
      <c r="AW125" s="161"/>
      <c r="AX125" s="161"/>
      <c r="AY125" s="161"/>
      <c r="AZ125" s="161"/>
      <c r="BA125" s="161"/>
      <c r="BB125" s="161"/>
      <c r="BC125" s="161"/>
      <c r="BD125" s="161"/>
      <c r="BE125" s="161"/>
      <c r="BF125" s="161"/>
      <c r="BG125" s="161"/>
      <c r="BH125" s="161"/>
      <c r="BI125" s="161"/>
      <c r="BJ125" s="161"/>
      <c r="BK125" s="161"/>
      <c r="BL125" s="161"/>
      <c r="BM125" s="161"/>
      <c r="BN125" s="161"/>
      <c r="BO125" s="161"/>
      <c r="BP125" s="161"/>
      <c r="BQ125" s="161"/>
      <c r="BR125" s="161"/>
      <c r="BS125" s="161"/>
      <c r="BT125" s="161"/>
      <c r="BU125" s="161"/>
      <c r="BV125" s="161"/>
      <c r="BW125" s="161"/>
      <c r="BX125" s="664"/>
    </row>
    <row r="126" ht="13.55" customHeight="1">
      <c r="A126" s="347"/>
      <c r="B126" s="161"/>
      <c r="C126" s="161"/>
      <c r="D126" s="161"/>
      <c r="E126" s="161"/>
      <c r="F126" s="161"/>
      <c r="G126" s="161"/>
      <c r="H126" s="161"/>
      <c r="I126" s="161"/>
      <c r="J126" s="161"/>
      <c r="K126" s="161"/>
      <c r="L126" s="161"/>
      <c r="M126" s="161"/>
      <c r="N126" s="161"/>
      <c r="O126" s="161"/>
      <c r="P126" s="161"/>
      <c r="Q126" s="161"/>
      <c r="R126" s="219"/>
      <c r="S126" s="161"/>
      <c r="T126" s="161"/>
      <c r="U126" s="161"/>
      <c r="V126" s="161"/>
      <c r="W126" s="161"/>
      <c r="X126" s="161"/>
      <c r="Y126" s="161"/>
      <c r="Z126" s="161"/>
      <c r="AA126" s="161"/>
      <c r="AB126" s="161"/>
      <c r="AC126" s="161"/>
      <c r="AD126" s="161"/>
      <c r="AE126" s="161"/>
      <c r="AF126" s="161"/>
      <c r="AG126" s="161"/>
      <c r="AH126" s="161"/>
      <c r="AI126" s="161"/>
      <c r="AJ126" s="774"/>
      <c r="AK126" s="774"/>
      <c r="AL126" s="774"/>
      <c r="AM126" s="774"/>
      <c r="AN126" s="774"/>
      <c r="AO126" s="161"/>
      <c r="AP126" s="161"/>
      <c r="AQ126" s="161"/>
      <c r="AR126" s="161"/>
      <c r="AS126" s="161"/>
      <c r="AT126" s="161"/>
      <c r="AU126" s="161"/>
      <c r="AV126" s="161"/>
      <c r="AW126" s="161"/>
      <c r="AX126" s="161"/>
      <c r="AY126" s="161"/>
      <c r="AZ126" s="161"/>
      <c r="BA126" s="161"/>
      <c r="BB126" s="161"/>
      <c r="BC126" s="161"/>
      <c r="BD126" s="161"/>
      <c r="BE126" s="161"/>
      <c r="BF126" s="161"/>
      <c r="BG126" s="161"/>
      <c r="BH126" s="161"/>
      <c r="BI126" s="161"/>
      <c r="BJ126" s="161"/>
      <c r="BK126" s="161"/>
      <c r="BL126" s="161"/>
      <c r="BM126" s="161"/>
      <c r="BN126" s="161"/>
      <c r="BO126" s="161"/>
      <c r="BP126" s="161"/>
      <c r="BQ126" s="161"/>
      <c r="BR126" s="161"/>
      <c r="BS126" s="161"/>
      <c r="BT126" s="161"/>
      <c r="BU126" s="161"/>
      <c r="BV126" s="161"/>
      <c r="BW126" s="161"/>
      <c r="BX126" s="664"/>
    </row>
    <row r="127" ht="13.55" customHeight="1">
      <c r="A127" s="347"/>
      <c r="B127" s="161"/>
      <c r="C127" s="161"/>
      <c r="D127" s="161"/>
      <c r="E127" s="161"/>
      <c r="F127" s="161"/>
      <c r="G127" s="161"/>
      <c r="H127" s="161"/>
      <c r="I127" s="161"/>
      <c r="J127" s="161"/>
      <c r="K127" s="161"/>
      <c r="L127" s="161"/>
      <c r="M127" s="161"/>
      <c r="N127" s="161"/>
      <c r="O127" s="161"/>
      <c r="P127" s="161"/>
      <c r="Q127" s="161"/>
      <c r="R127" s="219"/>
      <c r="S127" s="161"/>
      <c r="T127" s="161"/>
      <c r="U127" s="161"/>
      <c r="V127" s="161"/>
      <c r="W127" s="161"/>
      <c r="X127" s="161"/>
      <c r="Y127" s="161"/>
      <c r="Z127" s="161"/>
      <c r="AA127" s="161"/>
      <c r="AB127" s="161"/>
      <c r="AC127" s="161"/>
      <c r="AD127" s="161"/>
      <c r="AE127" s="161"/>
      <c r="AF127" s="161"/>
      <c r="AG127" s="161"/>
      <c r="AH127" s="161"/>
      <c r="AI127" s="161"/>
      <c r="AJ127" s="774"/>
      <c r="AK127" s="774"/>
      <c r="AL127" s="774"/>
      <c r="AM127" s="774"/>
      <c r="AN127" s="774"/>
      <c r="AO127" s="161"/>
      <c r="AP127" s="161"/>
      <c r="AQ127" s="161"/>
      <c r="AR127" s="161"/>
      <c r="AS127" s="161"/>
      <c r="AT127" s="161"/>
      <c r="AU127" s="161"/>
      <c r="AV127" s="161"/>
      <c r="AW127" s="161"/>
      <c r="AX127" s="161"/>
      <c r="AY127" s="161"/>
      <c r="AZ127" s="161"/>
      <c r="BA127" s="161"/>
      <c r="BB127" s="161"/>
      <c r="BC127" s="161"/>
      <c r="BD127" s="161"/>
      <c r="BE127" s="161"/>
      <c r="BF127" s="161"/>
      <c r="BG127" s="161"/>
      <c r="BH127" s="161"/>
      <c r="BI127" s="161"/>
      <c r="BJ127" s="161"/>
      <c r="BK127" s="161"/>
      <c r="BL127" s="161"/>
      <c r="BM127" s="161"/>
      <c r="BN127" s="161"/>
      <c r="BO127" s="161"/>
      <c r="BP127" s="161"/>
      <c r="BQ127" s="161"/>
      <c r="BR127" s="161"/>
      <c r="BS127" s="161"/>
      <c r="BT127" s="161"/>
      <c r="BU127" s="161"/>
      <c r="BV127" s="161"/>
      <c r="BW127" s="161"/>
      <c r="BX127" s="664"/>
    </row>
    <row r="128" ht="13.55" customHeight="1">
      <c r="A128" s="347"/>
      <c r="B128" s="161"/>
      <c r="C128" s="161"/>
      <c r="D128" s="161"/>
      <c r="E128" s="161"/>
      <c r="F128" s="161"/>
      <c r="G128" s="161"/>
      <c r="H128" s="161"/>
      <c r="I128" s="161"/>
      <c r="J128" s="161"/>
      <c r="K128" s="161"/>
      <c r="L128" s="161"/>
      <c r="M128" s="161"/>
      <c r="N128" s="161"/>
      <c r="O128" s="161"/>
      <c r="P128" s="161"/>
      <c r="Q128" s="161"/>
      <c r="R128" s="219"/>
      <c r="S128" s="161"/>
      <c r="T128" s="161"/>
      <c r="U128" s="161"/>
      <c r="V128" s="161"/>
      <c r="W128" s="161"/>
      <c r="X128" s="161"/>
      <c r="Y128" s="161"/>
      <c r="Z128" s="161"/>
      <c r="AA128" s="161"/>
      <c r="AB128" s="161"/>
      <c r="AC128" s="161"/>
      <c r="AD128" s="161"/>
      <c r="AE128" s="161"/>
      <c r="AF128" s="161"/>
      <c r="AG128" s="161"/>
      <c r="AH128" s="161"/>
      <c r="AI128" s="161"/>
      <c r="AJ128" s="774"/>
      <c r="AK128" s="774"/>
      <c r="AL128" s="774"/>
      <c r="AM128" s="774"/>
      <c r="AN128" s="774"/>
      <c r="AO128" s="161"/>
      <c r="AP128" s="161"/>
      <c r="AQ128" s="161"/>
      <c r="AR128" s="161"/>
      <c r="AS128" s="161"/>
      <c r="AT128" s="161"/>
      <c r="AU128" s="161"/>
      <c r="AV128" s="161"/>
      <c r="AW128" s="161"/>
      <c r="AX128" s="161"/>
      <c r="AY128" s="161"/>
      <c r="AZ128" s="161"/>
      <c r="BA128" s="161"/>
      <c r="BB128" s="161"/>
      <c r="BC128" s="161"/>
      <c r="BD128" s="161"/>
      <c r="BE128" s="161"/>
      <c r="BF128" s="161"/>
      <c r="BG128" s="161"/>
      <c r="BH128" s="161"/>
      <c r="BI128" s="161"/>
      <c r="BJ128" s="161"/>
      <c r="BK128" s="161"/>
      <c r="BL128" s="161"/>
      <c r="BM128" s="161"/>
      <c r="BN128" s="161"/>
      <c r="BO128" s="161"/>
      <c r="BP128" s="161"/>
      <c r="BQ128" s="161"/>
      <c r="BR128" s="161"/>
      <c r="BS128" s="161"/>
      <c r="BT128" s="161"/>
      <c r="BU128" s="161"/>
      <c r="BV128" s="161"/>
      <c r="BW128" s="161"/>
      <c r="BX128" s="664"/>
    </row>
    <row r="129" ht="13.55" customHeight="1">
      <c r="A129" s="347"/>
      <c r="B129" s="161"/>
      <c r="C129" s="161"/>
      <c r="D129" s="161"/>
      <c r="E129" s="161"/>
      <c r="F129" s="161"/>
      <c r="G129" s="161"/>
      <c r="H129" s="161"/>
      <c r="I129" s="161"/>
      <c r="J129" s="161"/>
      <c r="K129" s="161"/>
      <c r="L129" s="161"/>
      <c r="M129" s="161"/>
      <c r="N129" s="161"/>
      <c r="O129" s="161"/>
      <c r="P129" s="161"/>
      <c r="Q129" s="161"/>
      <c r="R129" s="219"/>
      <c r="S129" s="161"/>
      <c r="T129" s="161"/>
      <c r="U129" s="161"/>
      <c r="V129" s="161"/>
      <c r="W129" s="161"/>
      <c r="X129" s="161"/>
      <c r="Y129" s="161"/>
      <c r="Z129" s="161"/>
      <c r="AA129" s="161"/>
      <c r="AB129" s="161"/>
      <c r="AC129" s="161"/>
      <c r="AD129" s="161"/>
      <c r="AE129" s="161"/>
      <c r="AF129" s="161"/>
      <c r="AG129" s="161"/>
      <c r="AH129" s="161"/>
      <c r="AI129" s="161"/>
      <c r="AJ129" s="774"/>
      <c r="AK129" s="774"/>
      <c r="AL129" s="774"/>
      <c r="AM129" s="774"/>
      <c r="AN129" s="774"/>
      <c r="AO129" s="161"/>
      <c r="AP129" s="161"/>
      <c r="AQ129" s="161"/>
      <c r="AR129" s="161"/>
      <c r="AS129" s="161"/>
      <c r="AT129" s="161"/>
      <c r="AU129" s="161"/>
      <c r="AV129" s="161"/>
      <c r="AW129" s="161"/>
      <c r="AX129" s="161"/>
      <c r="AY129" s="161"/>
      <c r="AZ129" s="161"/>
      <c r="BA129" s="161"/>
      <c r="BB129" s="161"/>
      <c r="BC129" s="161"/>
      <c r="BD129" s="161"/>
      <c r="BE129" s="161"/>
      <c r="BF129" s="161"/>
      <c r="BG129" s="161"/>
      <c r="BH129" s="161"/>
      <c r="BI129" s="161"/>
      <c r="BJ129" s="161"/>
      <c r="BK129" s="161"/>
      <c r="BL129" s="161"/>
      <c r="BM129" s="161"/>
      <c r="BN129" s="161"/>
      <c r="BO129" s="161"/>
      <c r="BP129" s="161"/>
      <c r="BQ129" s="161"/>
      <c r="BR129" s="161"/>
      <c r="BS129" s="161"/>
      <c r="BT129" s="161"/>
      <c r="BU129" s="161"/>
      <c r="BV129" s="161"/>
      <c r="BW129" s="161"/>
      <c r="BX129" s="664"/>
    </row>
    <row r="130" ht="13.55" customHeight="1">
      <c r="A130" s="654"/>
      <c r="B130" s="655"/>
      <c r="C130" s="655"/>
      <c r="D130" s="655"/>
      <c r="E130" s="655"/>
      <c r="F130" s="655"/>
      <c r="G130" s="655"/>
      <c r="H130" s="655"/>
      <c r="I130" s="655"/>
      <c r="J130" s="655"/>
      <c r="K130" s="655"/>
      <c r="L130" s="655"/>
      <c r="M130" s="655"/>
      <c r="N130" s="655"/>
      <c r="O130" s="655"/>
      <c r="P130" s="655"/>
      <c r="Q130" s="655"/>
      <c r="R130" s="656"/>
      <c r="S130" s="655"/>
      <c r="T130" s="655"/>
      <c r="U130" s="655"/>
      <c r="V130" s="655"/>
      <c r="W130" s="655"/>
      <c r="X130" s="655"/>
      <c r="Y130" s="655"/>
      <c r="Z130" s="655"/>
      <c r="AA130" s="655"/>
      <c r="AB130" s="655"/>
      <c r="AC130" s="655"/>
      <c r="AD130" s="655"/>
      <c r="AE130" s="655"/>
      <c r="AF130" s="655"/>
      <c r="AG130" s="655"/>
      <c r="AH130" s="655"/>
      <c r="AI130" s="655"/>
      <c r="AJ130" s="840"/>
      <c r="AK130" s="840"/>
      <c r="AL130" s="840"/>
      <c r="AM130" s="840"/>
      <c r="AN130" s="840"/>
      <c r="AO130" s="655"/>
      <c r="AP130" s="655"/>
      <c r="AQ130" s="655"/>
      <c r="AR130" s="655"/>
      <c r="AS130" s="655"/>
      <c r="AT130" s="655"/>
      <c r="AU130" s="655"/>
      <c r="AV130" s="655"/>
      <c r="AW130" s="655"/>
      <c r="AX130" s="655"/>
      <c r="AY130" s="655"/>
      <c r="AZ130" s="655"/>
      <c r="BA130" s="655"/>
      <c r="BB130" s="655"/>
      <c r="BC130" s="655"/>
      <c r="BD130" s="655"/>
      <c r="BE130" s="655"/>
      <c r="BF130" s="655"/>
      <c r="BG130" s="655"/>
      <c r="BH130" s="655"/>
      <c r="BI130" s="655"/>
      <c r="BJ130" s="655"/>
      <c r="BK130" s="655"/>
      <c r="BL130" s="655"/>
      <c r="BM130" s="655"/>
      <c r="BN130" s="655"/>
      <c r="BO130" s="655"/>
      <c r="BP130" s="655"/>
      <c r="BQ130" s="655"/>
      <c r="BR130" s="655"/>
      <c r="BS130" s="655"/>
      <c r="BT130" s="655"/>
      <c r="BU130" s="655"/>
      <c r="BV130" s="655"/>
      <c r="BW130" s="655"/>
      <c r="BX130" s="771"/>
    </row>
  </sheetData>
  <mergeCells count="272">
    <mergeCell ref="B9:B10"/>
    <mergeCell ref="C9:E9"/>
    <mergeCell ref="F9:H10"/>
    <mergeCell ref="I9:K9"/>
    <mergeCell ref="L9:N9"/>
    <mergeCell ref="O9:P9"/>
    <mergeCell ref="D11:E11"/>
    <mergeCell ref="F11:H11"/>
    <mergeCell ref="D15:E15"/>
    <mergeCell ref="F15:H15"/>
    <mergeCell ref="T9:V9"/>
    <mergeCell ref="W9:X9"/>
    <mergeCell ref="Y9:AA9"/>
    <mergeCell ref="AB9:AD9"/>
    <mergeCell ref="AE9:AG9"/>
    <mergeCell ref="AH9:AH10"/>
    <mergeCell ref="AI9:AI10"/>
    <mergeCell ref="AJ9:AJ10"/>
    <mergeCell ref="D10:E10"/>
    <mergeCell ref="T10:U10"/>
    <mergeCell ref="R1:R31"/>
    <mergeCell ref="C2:D2"/>
    <mergeCell ref="F2:H6"/>
    <mergeCell ref="J2:M5"/>
    <mergeCell ref="C3:D3"/>
    <mergeCell ref="D19:E19"/>
    <mergeCell ref="F19:H19"/>
    <mergeCell ref="D23:E23"/>
    <mergeCell ref="F23:H23"/>
    <mergeCell ref="D27:E27"/>
    <mergeCell ref="F27:H27"/>
    <mergeCell ref="T11:U11"/>
    <mergeCell ref="D12:E12"/>
    <mergeCell ref="F12:H12"/>
    <mergeCell ref="T12:U12"/>
    <mergeCell ref="D13:E13"/>
    <mergeCell ref="F13:H13"/>
    <mergeCell ref="T13:U13"/>
    <mergeCell ref="D14:E14"/>
    <mergeCell ref="F14:H14"/>
    <mergeCell ref="T14:U14"/>
    <mergeCell ref="T15:U15"/>
    <mergeCell ref="D16:E16"/>
    <mergeCell ref="F16:H16"/>
    <mergeCell ref="T16:U16"/>
    <mergeCell ref="D17:E17"/>
    <mergeCell ref="F17:H17"/>
    <mergeCell ref="T17:U17"/>
    <mergeCell ref="D18:E18"/>
    <mergeCell ref="F18:H18"/>
    <mergeCell ref="T18:U18"/>
    <mergeCell ref="T19:U19"/>
    <mergeCell ref="D20:E20"/>
    <mergeCell ref="F20:H20"/>
    <mergeCell ref="T20:U20"/>
    <mergeCell ref="D21:E21"/>
    <mergeCell ref="F21:H21"/>
    <mergeCell ref="T21:U21"/>
    <mergeCell ref="D22:E22"/>
    <mergeCell ref="F22:H22"/>
    <mergeCell ref="T22:U22"/>
    <mergeCell ref="T23:U23"/>
    <mergeCell ref="D24:E24"/>
    <mergeCell ref="F24:H24"/>
    <mergeCell ref="T24:U24"/>
    <mergeCell ref="D25:E25"/>
    <mergeCell ref="F25:H25"/>
    <mergeCell ref="T25:U25"/>
    <mergeCell ref="D26:E26"/>
    <mergeCell ref="F26:H26"/>
    <mergeCell ref="T26:U26"/>
    <mergeCell ref="T27:U27"/>
    <mergeCell ref="D28:E28"/>
    <mergeCell ref="F28:H28"/>
    <mergeCell ref="T28:U28"/>
    <mergeCell ref="D29:E29"/>
    <mergeCell ref="F29:H29"/>
    <mergeCell ref="T29:U29"/>
    <mergeCell ref="D30:E30"/>
    <mergeCell ref="F30:H30"/>
    <mergeCell ref="T30:U30"/>
    <mergeCell ref="I32:N32"/>
    <mergeCell ref="I33:N33"/>
    <mergeCell ref="R34:R62"/>
    <mergeCell ref="F42:G42"/>
    <mergeCell ref="I42:K42"/>
    <mergeCell ref="L42:N42"/>
    <mergeCell ref="F45:G45"/>
    <mergeCell ref="I45:K45"/>
    <mergeCell ref="L45:N45"/>
    <mergeCell ref="F48:G48"/>
    <mergeCell ref="I48:K48"/>
    <mergeCell ref="L48:N48"/>
    <mergeCell ref="F51:G51"/>
    <mergeCell ref="I51:K51"/>
    <mergeCell ref="T37:V37"/>
    <mergeCell ref="F40:G40"/>
    <mergeCell ref="I40:K40"/>
    <mergeCell ref="L40:N40"/>
    <mergeCell ref="B37:B38"/>
    <mergeCell ref="C37:D37"/>
    <mergeCell ref="E37:G37"/>
    <mergeCell ref="H37:H38"/>
    <mergeCell ref="I37:K38"/>
    <mergeCell ref="L37:N38"/>
    <mergeCell ref="O37:P37"/>
    <mergeCell ref="F39:G39"/>
    <mergeCell ref="I39:K39"/>
    <mergeCell ref="L39:N39"/>
    <mergeCell ref="W37:X37"/>
    <mergeCell ref="Y37:AA37"/>
    <mergeCell ref="AB37:AD37"/>
    <mergeCell ref="AE37:AF37"/>
    <mergeCell ref="AG37:AH37"/>
    <mergeCell ref="AI37:AI38"/>
    <mergeCell ref="F38:G38"/>
    <mergeCell ref="T38:U38"/>
    <mergeCell ref="T39:U39"/>
    <mergeCell ref="T40:U40"/>
    <mergeCell ref="F41:G41"/>
    <mergeCell ref="I41:K41"/>
    <mergeCell ref="L41:N41"/>
    <mergeCell ref="T41:U41"/>
    <mergeCell ref="T42:U42"/>
    <mergeCell ref="F43:G43"/>
    <mergeCell ref="I43:K43"/>
    <mergeCell ref="L43:N43"/>
    <mergeCell ref="T43:U43"/>
    <mergeCell ref="F44:G44"/>
    <mergeCell ref="I44:K44"/>
    <mergeCell ref="L44:N44"/>
    <mergeCell ref="T44:U44"/>
    <mergeCell ref="T45:U45"/>
    <mergeCell ref="F46:G46"/>
    <mergeCell ref="I46:K46"/>
    <mergeCell ref="L46:N46"/>
    <mergeCell ref="T46:U46"/>
    <mergeCell ref="F47:G47"/>
    <mergeCell ref="I47:K47"/>
    <mergeCell ref="L47:N47"/>
    <mergeCell ref="T47:U47"/>
    <mergeCell ref="T48:U48"/>
    <mergeCell ref="F49:G49"/>
    <mergeCell ref="I49:K49"/>
    <mergeCell ref="L49:N49"/>
    <mergeCell ref="T49:U49"/>
    <mergeCell ref="F50:G50"/>
    <mergeCell ref="I50:K50"/>
    <mergeCell ref="L50:N50"/>
    <mergeCell ref="T50:U50"/>
    <mergeCell ref="L51:N51"/>
    <mergeCell ref="T51:U51"/>
    <mergeCell ref="F52:G52"/>
    <mergeCell ref="I52:K52"/>
    <mergeCell ref="L52:N52"/>
    <mergeCell ref="T52:U52"/>
    <mergeCell ref="F53:G53"/>
    <mergeCell ref="I53:K53"/>
    <mergeCell ref="L53:N53"/>
    <mergeCell ref="T53:U53"/>
    <mergeCell ref="F54:G54"/>
    <mergeCell ref="I54:K54"/>
    <mergeCell ref="L54:N54"/>
    <mergeCell ref="T54:U54"/>
    <mergeCell ref="F55:G55"/>
    <mergeCell ref="I55:K55"/>
    <mergeCell ref="L55:N55"/>
    <mergeCell ref="T55:U55"/>
    <mergeCell ref="F56:G56"/>
    <mergeCell ref="I56:K56"/>
    <mergeCell ref="L56:N56"/>
    <mergeCell ref="T56:U56"/>
    <mergeCell ref="F57:G57"/>
    <mergeCell ref="I57:K57"/>
    <mergeCell ref="L57:N57"/>
    <mergeCell ref="T57:U57"/>
    <mergeCell ref="F58:G58"/>
    <mergeCell ref="I58:K58"/>
    <mergeCell ref="L58:N58"/>
    <mergeCell ref="T58:U58"/>
    <mergeCell ref="I59:K59"/>
    <mergeCell ref="L59:N59"/>
    <mergeCell ref="A63:A65"/>
    <mergeCell ref="R63:R88"/>
    <mergeCell ref="BA63:BA64"/>
    <mergeCell ref="B64:B65"/>
    <mergeCell ref="C64:D64"/>
    <mergeCell ref="E64:G64"/>
    <mergeCell ref="H64:H65"/>
    <mergeCell ref="I64:I65"/>
    <mergeCell ref="J64:K65"/>
    <mergeCell ref="L64:L65"/>
    <mergeCell ref="M64:N65"/>
    <mergeCell ref="O64:P64"/>
    <mergeCell ref="T64:AD64"/>
    <mergeCell ref="AE64:AE65"/>
    <mergeCell ref="AF64:AP64"/>
    <mergeCell ref="AQ64:AQ65"/>
    <mergeCell ref="AR64:AV64"/>
    <mergeCell ref="F65:G65"/>
    <mergeCell ref="F66:G66"/>
    <mergeCell ref="J66:K66"/>
    <mergeCell ref="M66:N66"/>
    <mergeCell ref="F67:G67"/>
    <mergeCell ref="J67:K67"/>
    <mergeCell ref="M67:N67"/>
    <mergeCell ref="F68:G68"/>
    <mergeCell ref="J68:K68"/>
    <mergeCell ref="M68:N68"/>
    <mergeCell ref="F69:G69"/>
    <mergeCell ref="J69:K69"/>
    <mergeCell ref="M69:N69"/>
    <mergeCell ref="F70:G70"/>
    <mergeCell ref="J70:K70"/>
    <mergeCell ref="M70:N70"/>
    <mergeCell ref="F71:G71"/>
    <mergeCell ref="J71:K71"/>
    <mergeCell ref="M71:N71"/>
    <mergeCell ref="F72:G72"/>
    <mergeCell ref="J72:K72"/>
    <mergeCell ref="M72:N72"/>
    <mergeCell ref="F73:G73"/>
    <mergeCell ref="J73:K73"/>
    <mergeCell ref="M73:N73"/>
    <mergeCell ref="F74:G74"/>
    <mergeCell ref="J74:K74"/>
    <mergeCell ref="M74:N74"/>
    <mergeCell ref="F75:G75"/>
    <mergeCell ref="J75:K75"/>
    <mergeCell ref="M75:N75"/>
    <mergeCell ref="F76:G76"/>
    <mergeCell ref="J76:K76"/>
    <mergeCell ref="M76:N76"/>
    <mergeCell ref="F77:G77"/>
    <mergeCell ref="J77:K77"/>
    <mergeCell ref="M77:N77"/>
    <mergeCell ref="F78:G78"/>
    <mergeCell ref="J78:K78"/>
    <mergeCell ref="M78:N78"/>
    <mergeCell ref="F79:G79"/>
    <mergeCell ref="J79:K79"/>
    <mergeCell ref="M79:N79"/>
    <mergeCell ref="F80:G80"/>
    <mergeCell ref="J80:K80"/>
    <mergeCell ref="M80:N80"/>
    <mergeCell ref="F81:G81"/>
    <mergeCell ref="J81:K81"/>
    <mergeCell ref="M81:N81"/>
    <mergeCell ref="F82:G82"/>
    <mergeCell ref="J82:K82"/>
    <mergeCell ref="M82:N82"/>
    <mergeCell ref="F83:G83"/>
    <mergeCell ref="J83:K83"/>
    <mergeCell ref="M83:N83"/>
    <mergeCell ref="F84:G84"/>
    <mergeCell ref="J84:K84"/>
    <mergeCell ref="M84:N84"/>
    <mergeCell ref="F85:G85"/>
    <mergeCell ref="J85:K85"/>
    <mergeCell ref="M85:N85"/>
    <mergeCell ref="M86:N86"/>
    <mergeCell ref="R89:R97"/>
    <mergeCell ref="A91:Q93"/>
    <mergeCell ref="C97:D97"/>
    <mergeCell ref="E97:I97"/>
    <mergeCell ref="R98:R100"/>
    <mergeCell ref="R101:R130"/>
    <mergeCell ref="C103:C106"/>
    <mergeCell ref="D103:D105"/>
    <mergeCell ref="I103:I105"/>
    <mergeCell ref="C108:F108"/>
    <mergeCell ref="C109:F109"/>
  </mergeCells>
  <conditionalFormatting sqref="P1:P5 N66:N85">
    <cfRule type="containsText" dxfId="129" priority="1" stopIfTrue="1" text="▲">
      <formula>NOT(ISERROR(FIND(UPPER("▲"),UPPER(P1))))</formula>
      <formula>"▲"</formula>
    </cfRule>
  </conditionalFormatting>
  <conditionalFormatting sqref="J2">
    <cfRule type="containsText" dxfId="130" priority="1" stopIfTrue="1" text="Technical">
      <formula>NOT(ISERROR(FIND(UPPER("Technical"),UPPER(J2))))</formula>
      <formula>"Technical"</formula>
    </cfRule>
  </conditionalFormatting>
  <conditionalFormatting sqref="L11:L30">
    <cfRule type="containsText" dxfId="131" priority="1" stopIfTrue="1" text="▲">
      <formula>NOT(ISERROR(FIND(UPPER("▲"),UPPER(L11))))</formula>
      <formula>"▲"</formula>
    </cfRule>
    <cfRule type="containsText" dxfId="132" priority="2" stopIfTrue="1" text="value">
      <formula>NOT(ISERROR(FIND(UPPER("value"),UPPER(L11))))</formula>
      <formula>"value"</formula>
    </cfRule>
    <cfRule type="cellIs" dxfId="133" priority="3" operator="equal" stopIfTrue="1">
      <formula>"Any loss Unacceptable"</formula>
    </cfRule>
  </conditionalFormatting>
  <conditionalFormatting sqref="M11:M30">
    <cfRule type="containsText" dxfId="134" priority="1" stopIfTrue="1" text="error">
      <formula>NOT(ISERROR(FIND(UPPER("error"),UPPER(M11))))</formula>
      <formula>"error"</formula>
    </cfRule>
    <cfRule type="cellIs" dxfId="135" priority="2" operator="equal" stopIfTrue="1">
      <formula>"Any loss Unacceptable"</formula>
    </cfRule>
  </conditionalFormatting>
  <conditionalFormatting sqref="N11:N30">
    <cfRule type="containsText" dxfId="136" priority="1" stopIfTrue="1" text="value">
      <formula>NOT(ISERROR(FIND(UPPER("value"),UPPER(N11))))</formula>
      <formula>"value"</formula>
    </cfRule>
    <cfRule type="containsText" dxfId="137" priority="2" stopIfTrue="1" text="▲">
      <formula>NOT(ISERROR(FIND(UPPER("▲"),UPPER(N11))))</formula>
      <formula>"▲"</formula>
    </cfRule>
    <cfRule type="cellIs" dxfId="138" priority="3" operator="equal" stopIfTrue="1">
      <formula>"Alternative Compensation"</formula>
    </cfRule>
    <cfRule type="cellIs" dxfId="139" priority="4" operator="equal" stopIfTrue="1">
      <formula>"Unacceptable Loss"</formula>
    </cfRule>
    <cfRule type="cellIs" dxfId="140" priority="5" operator="equal" stopIfTrue="1">
      <formula>"Compensation Agreed"</formula>
    </cfRule>
    <cfRule type="cellIs" dxfId="141" priority="6" operator="equal" stopIfTrue="1">
      <formula>"Unacceptable Loss"</formula>
    </cfRule>
    <cfRule type="cellIs" dxfId="142" priority="7" operator="equal" stopIfTrue="1">
      <formula>"Compensation Agreed"</formula>
    </cfRule>
    <cfRule type="cellIs" dxfId="143" priority="8" operator="equal" stopIfTrue="1">
      <formula>"Unacceptable Loss"</formula>
    </cfRule>
  </conditionalFormatting>
  <conditionalFormatting sqref="X11:X30 X39:X58 AJ66:AJ85">
    <cfRule type="cellIs" dxfId="144" priority="1" operator="equal" stopIfTrue="1">
      <formula>"Not Possible"</formula>
    </cfRule>
  </conditionalFormatting>
  <conditionalFormatting sqref="AG11:AG30">
    <cfRule type="cellIs" dxfId="145" priority="1" operator="equal" stopIfTrue="1">
      <formula>"Unacceptable Loss"</formula>
    </cfRule>
  </conditionalFormatting>
  <conditionalFormatting sqref="I31">
    <cfRule type="cellIs" dxfId="146" priority="1" operator="greaterThan" stopIfTrue="1">
      <formula>5000</formula>
    </cfRule>
  </conditionalFormatting>
  <conditionalFormatting sqref="I32:N32">
    <cfRule type="containsText" dxfId="147" priority="1" stopIfTrue="1" text="error">
      <formula>NOT(ISERROR(FIND(UPPER("error"),UPPER(I32))))</formula>
      <formula>"error"</formula>
    </cfRule>
    <cfRule type="containsText" dxfId="148" priority="2" stopIfTrue="1" text="acceptable">
      <formula>NOT(ISERROR(FIND(UPPER("acceptable"),UPPER(I32))))</formula>
      <formula>"acceptable"</formula>
    </cfRule>
  </conditionalFormatting>
  <conditionalFormatting sqref="I33:N33">
    <cfRule type="containsText" dxfId="149" priority="1" stopIfTrue="1" text="▲">
      <formula>NOT(ISERROR(FIND(UPPER("▲"),UPPER(I33))))</formula>
      <formula>"▲"</formula>
    </cfRule>
    <cfRule type="containsText" dxfId="150" priority="2" stopIfTrue="1" text=" ✓">
      <formula>NOT(ISERROR(FIND(UPPER(" ✓"),UPPER(I33))))</formula>
      <formula>" ✓"</formula>
    </cfRule>
  </conditionalFormatting>
  <conditionalFormatting sqref="F39:F58">
    <cfRule type="containsBlanks" dxfId="151" priority="1" stopIfTrue="1">
      <formula>ISBLANK(F39)</formula>
    </cfRule>
  </conditionalFormatting>
  <conditionalFormatting sqref="L39:M58">
    <cfRule type="containsText" dxfId="152" priority="1" stopIfTrue="1" text="▲">
      <formula>NOT(ISERROR(FIND(UPPER("▲"),UPPER(L39))))</formula>
      <formula>"▲"</formula>
    </cfRule>
    <cfRule type="containsText" dxfId="153" priority="2" stopIfTrue="1" text="value">
      <formula>NOT(ISERROR(FIND(UPPER("value"),UPPER(L39))))</formula>
      <formula>"value"</formula>
    </cfRule>
    <cfRule type="cellIs" dxfId="154" priority="3" operator="equal" stopIfTrue="1">
      <formula>"Alternative Compensation"</formula>
    </cfRule>
    <cfRule type="cellIs" dxfId="155" priority="4" operator="equal" stopIfTrue="1">
      <formula>"Unacceptable Loss"</formula>
    </cfRule>
    <cfRule type="cellIs" dxfId="156" priority="5" operator="equal" stopIfTrue="1">
      <formula>"Compensation Agreed"</formula>
    </cfRule>
    <cfRule type="cellIs" dxfId="157" priority="6" operator="equal" stopIfTrue="1">
      <formula>"Unacceptable Loss"</formula>
    </cfRule>
    <cfRule type="cellIs" dxfId="158" priority="7" operator="equal" stopIfTrue="1">
      <formula>"Compensation Agreed"</formula>
    </cfRule>
    <cfRule type="cellIs" dxfId="159" priority="8" operator="equal" stopIfTrue="1">
      <formula>"Unacceptable Loss"</formula>
    </cfRule>
  </conditionalFormatting>
  <conditionalFormatting sqref="N39:N58">
    <cfRule type="containsText" dxfId="160" priority="1" stopIfTrue="1" text="▲">
      <formula>NOT(ISERROR(FIND(UPPER("▲"),UPPER(N39))))</formula>
      <formula>"▲"</formula>
    </cfRule>
    <cfRule type="containsText" dxfId="161" priority="2" stopIfTrue="1" text="value">
      <formula>NOT(ISERROR(FIND(UPPER("value"),UPPER(N39))))</formula>
      <formula>"value"</formula>
    </cfRule>
  </conditionalFormatting>
  <conditionalFormatting sqref="E66:E85">
    <cfRule type="cellIs" dxfId="162" priority="1" operator="equal" stopIfTrue="1">
      <formula>"Enhancement not possible"</formula>
    </cfRule>
  </conditionalFormatting>
  <conditionalFormatting sqref="L66:M85">
    <cfRule type="containsText" dxfId="163" priority="1" stopIfTrue="1" text="▲">
      <formula>NOT(ISERROR(FIND(UPPER("▲"),UPPER(L66))))</formula>
      <formula>"▲"</formula>
    </cfRule>
    <cfRule type="cellIs" dxfId="164" priority="2" operator="equal" stopIfTrue="1">
      <formula>"Alternative Compensation"</formula>
    </cfRule>
    <cfRule type="cellIs" dxfId="165" priority="3" operator="equal" stopIfTrue="1">
      <formula>"Unacceptable Loss"</formula>
    </cfRule>
    <cfRule type="cellIs" dxfId="166" priority="4" operator="equal" stopIfTrue="1">
      <formula>"Compensation Agreed"</formula>
    </cfRule>
    <cfRule type="cellIs" dxfId="167" priority="5" operator="equal" stopIfTrue="1">
      <formula>"Unacceptable Loss"</formula>
    </cfRule>
    <cfRule type="cellIs" dxfId="168" priority="6" operator="equal" stopIfTrue="1">
      <formula>"Compensation Agreed"</formula>
    </cfRule>
    <cfRule type="cellIs" dxfId="169" priority="7" operator="equal" stopIfTrue="1">
      <formula>"Unacceptable Loss"</formula>
    </cfRule>
  </conditionalFormatting>
  <conditionalFormatting sqref="I86 L86">
    <cfRule type="cellIs" dxfId="170" priority="1" operator="equal" stopIfTrue="1">
      <formula>"Any loss Unacceptable"</formula>
    </cfRule>
  </conditionalFormatting>
  <conditionalFormatting sqref="E97">
    <cfRule type="containsText" dxfId="171" priority="1" stopIfTrue="1" text="Trading Rules Satisfied">
      <formula>NOT(ISERROR(FIND(UPPER("Trading Rules Satisfied"),UPPER(E97))))</formula>
      <formula>"Trading Rules Satisfied"</formula>
    </cfRule>
    <cfRule type="containsText" dxfId="172" priority="2" stopIfTrue="1" text="Error - Trading Rules Not Satisfied">
      <formula>NOT(ISERROR(FIND(UPPER("Error - Trading Rules Not Satisfied"),UPPER(E97))))</formula>
      <formula>"Error - Trading Rules Not Satisfied"</formula>
    </cfRule>
  </conditionalFormatting>
  <conditionalFormatting sqref="I103 I106">
    <cfRule type="containsText" dxfId="173" priority="1" stopIfTrue="1" text="No">
      <formula>NOT(ISERROR(FIND(UPPER("No"),UPPER(I103))))</formula>
      <formula>"No"</formula>
    </cfRule>
    <cfRule type="containsText" dxfId="174" priority="2" stopIfTrue="1" text="Yes">
      <formula>NOT(ISERROR(FIND(UPPER("Yes"),UPPER(I103))))</formula>
      <formula>"Yes"</formula>
    </cfRule>
  </conditionalFormatting>
  <dataValidations count="2">
    <dataValidation type="list" allowBlank="1" showInputMessage="1" showErrorMessage="1" sqref="F11:H30 H39:H58 H66:H85">
      <formula1>"Formally identified in local strategy,Area/compensation not in local strategy/ no local strategy"</formula1>
    </dataValidation>
    <dataValidation type="list" allowBlank="1" showInputMessage="1" showErrorMessage="1" sqref="F39:F58">
      <formula1>"Good,Moderate,Poor,Condition Assessment N/A,N/A - Other"</formula1>
    </dataValidation>
  </dataValidations>
  <pageMargins left="0.7" right="0.7" top="0.75" bottom="0.75" header="0.3" footer="0.3"/>
  <pageSetup firstPageNumber="1" fitToHeight="1" fitToWidth="1" scale="100" useFirstPageNumber="0" orientation="portrait" pageOrder="downThenOver"/>
  <headerFooter>
    <oddFooter>&amp;C&amp;"Helvetica Neue,Regular"&amp;12&amp;K000000&amp;P</oddFooter>
  </headerFooter>
</worksheet>
</file>

<file path=xl/worksheets/sheet9.xml><?xml version="1.0" encoding="utf-8"?>
<worksheet xmlns:r="http://schemas.openxmlformats.org/officeDocument/2006/relationships" xmlns="http://schemas.openxmlformats.org/spreadsheetml/2006/main">
  <sheetPr>
    <pageSetUpPr fitToPage="1"/>
  </sheetPr>
  <dimension ref="A1:X75"/>
  <sheetViews>
    <sheetView workbookViewId="0" showGridLines="0" defaultGridColor="1"/>
  </sheetViews>
  <sheetFormatPr defaultColWidth="8.83333" defaultRowHeight="15.75" customHeight="1" outlineLevelRow="0" outlineLevelCol="0"/>
  <cols>
    <col min="1" max="1" width="14.1719" style="841" customWidth="1"/>
    <col min="2" max="2" width="30.5" style="841" customWidth="1"/>
    <col min="3" max="3" width="45.3516" style="841" customWidth="1"/>
    <col min="4" max="4" width="76.5" style="841" customWidth="1"/>
    <col min="5" max="5" width="13" style="841" customWidth="1"/>
    <col min="6" max="6" width="19.5" style="841" customWidth="1"/>
    <col min="7" max="7" hidden="1" width="8.83333" style="841" customWidth="1"/>
    <col min="8" max="9" width="10.6719" style="841" customWidth="1"/>
    <col min="10" max="10" width="15" style="841" customWidth="1"/>
    <col min="11" max="11" width="10.3516" style="841" customWidth="1"/>
    <col min="12" max="16" width="8.85156" style="841" customWidth="1"/>
    <col min="17" max="24" hidden="1" width="8.83333" style="841" customWidth="1"/>
    <col min="25" max="16384" width="8.85156" style="841" customWidth="1"/>
  </cols>
  <sheetData>
    <row r="1" ht="15.95" customHeight="1">
      <c r="A1" s="7"/>
      <c r="B1" s="74"/>
      <c r="C1" s="74"/>
      <c r="D1" s="74"/>
      <c r="E1" s="74"/>
      <c r="F1" s="8"/>
      <c r="G1" s="8"/>
      <c r="H1" s="8"/>
      <c r="I1" s="8"/>
      <c r="J1" s="8"/>
      <c r="K1" s="8"/>
      <c r="L1" s="8"/>
      <c r="M1" s="8"/>
      <c r="N1" s="8"/>
      <c r="O1" s="8"/>
      <c r="P1" s="8"/>
      <c r="Q1" s="8"/>
      <c r="R1" s="8"/>
      <c r="S1" s="8"/>
      <c r="T1" s="8"/>
      <c r="U1" s="8"/>
      <c r="V1" s="8"/>
      <c r="W1" s="8"/>
      <c r="X1" s="8"/>
    </row>
    <row r="2" ht="24.75" customHeight="1">
      <c r="A2" s="27"/>
      <c r="B2" t="s" s="164">
        <v>100</v>
      </c>
      <c r="C2" s="165"/>
      <c r="D2" t="s" s="119">
        <f>IF('2. Site Details'!D4="","Enter site name on 2. Site Details",'2. Site Details'!D4)</f>
        <v>54</v>
      </c>
      <c r="E2" s="120"/>
      <c r="F2" s="842"/>
      <c r="G2" s="236"/>
      <c r="H2" s="236"/>
      <c r="I2" s="236"/>
      <c r="J2" s="236"/>
      <c r="K2" s="236"/>
      <c r="L2" s="236"/>
      <c r="M2" s="236"/>
      <c r="N2" s="236"/>
      <c r="O2" s="236"/>
      <c r="P2" s="236"/>
      <c r="Q2" s="236"/>
      <c r="R2" s="236"/>
      <c r="S2" s="236"/>
      <c r="T2" s="236"/>
      <c r="U2" s="236"/>
      <c r="V2" s="236"/>
      <c r="W2" s="236"/>
      <c r="X2" s="11"/>
    </row>
    <row r="3" ht="24.75" customHeight="1">
      <c r="A3" s="27"/>
      <c r="B3" t="s" s="169">
        <v>23</v>
      </c>
      <c r="C3" s="170"/>
      <c r="D3" t="s" s="122">
        <v>340</v>
      </c>
      <c r="E3" s="123"/>
      <c r="F3" s="843"/>
      <c r="G3" s="236"/>
      <c r="H3" s="844"/>
      <c r="I3" s="844"/>
      <c r="J3" s="844"/>
      <c r="K3" s="844"/>
      <c r="L3" s="844"/>
      <c r="M3" s="844"/>
      <c r="N3" s="844"/>
      <c r="O3" s="844"/>
      <c r="P3" s="236"/>
      <c r="Q3" s="236"/>
      <c r="R3" s="236"/>
      <c r="S3" s="236"/>
      <c r="T3" s="236"/>
      <c r="U3" s="236"/>
      <c r="V3" s="236"/>
      <c r="W3" s="236"/>
      <c r="X3" s="11"/>
    </row>
    <row r="4" ht="34.35" customHeight="1">
      <c r="A4" s="10"/>
      <c r="B4" t="s" s="91">
        <v>340</v>
      </c>
      <c r="C4" s="152"/>
      <c r="D4" s="152"/>
      <c r="E4" s="152"/>
      <c r="F4" s="845"/>
      <c r="G4" s="236"/>
      <c r="H4" s="236"/>
      <c r="I4" s="236"/>
      <c r="J4" s="236"/>
      <c r="K4" s="236"/>
      <c r="L4" s="236"/>
      <c r="M4" s="236"/>
      <c r="N4" s="236"/>
      <c r="O4" s="236"/>
      <c r="P4" s="236"/>
      <c r="Q4" s="236"/>
      <c r="R4" s="236"/>
      <c r="S4" s="236"/>
      <c r="T4" s="236"/>
      <c r="U4" s="236"/>
      <c r="V4" s="236"/>
      <c r="W4" s="236"/>
      <c r="X4" s="11"/>
    </row>
    <row r="5" ht="24.75" customHeight="1">
      <c r="A5" s="27"/>
      <c r="B5" t="s" s="76">
        <v>341</v>
      </c>
      <c r="C5" s="846"/>
      <c r="D5" t="s" s="847">
        <f>IF(OR(D27&gt;0,D28&gt;0,D29&gt;0),"BNG Targets Not Met ▲","BNG Targets Met ✓")</f>
        <v>342</v>
      </c>
      <c r="E5" s="734"/>
      <c r="F5" s="843"/>
      <c r="G5" s="236"/>
      <c r="H5" s="236"/>
      <c r="I5" s="236"/>
      <c r="J5" s="236"/>
      <c r="K5" s="236"/>
      <c r="L5" s="236"/>
      <c r="M5" s="236"/>
      <c r="N5" s="236"/>
      <c r="O5" s="236"/>
      <c r="P5" s="236"/>
      <c r="Q5" s="236"/>
      <c r="R5" s="236"/>
      <c r="S5" s="236"/>
      <c r="T5" s="236"/>
      <c r="U5" s="236"/>
      <c r="V5" s="236"/>
      <c r="W5" s="236"/>
      <c r="X5" s="11"/>
    </row>
    <row r="6" ht="24.75" customHeight="1">
      <c r="A6" s="10"/>
      <c r="B6" s="152"/>
      <c r="C6" s="152"/>
      <c r="D6" s="848"/>
      <c r="E6" s="848"/>
      <c r="F6" s="845"/>
      <c r="G6" s="849"/>
      <c r="H6" s="849"/>
      <c r="I6" s="849"/>
      <c r="J6" s="236"/>
      <c r="K6" s="236"/>
      <c r="L6" s="236"/>
      <c r="M6" s="236"/>
      <c r="N6" s="236"/>
      <c r="O6" s="236"/>
      <c r="P6" s="236"/>
      <c r="Q6" s="236"/>
      <c r="R6" s="236"/>
      <c r="S6" s="236"/>
      <c r="T6" s="236"/>
      <c r="U6" s="236"/>
      <c r="V6" s="236"/>
      <c r="W6" s="236"/>
      <c r="X6" s="11"/>
    </row>
    <row r="7" ht="24.75" customHeight="1">
      <c r="A7" s="27"/>
      <c r="B7" t="s" s="76">
        <v>343</v>
      </c>
      <c r="C7" s="77"/>
      <c r="D7" t="s" s="850">
        <f>IF('5. Area Habitats'!J108+'5. Area Habitats'!J109+'6. Hedges &amp; Lines of Trees'!J97+'7. Watercourses'!J97&gt;0,"Trading Rules Not Satisfied ▲","Trading Rules Satisfied ✓")</f>
        <v>268</v>
      </c>
      <c r="E7" s="851"/>
      <c r="F7" s="852"/>
      <c r="G7" s="853"/>
      <c r="H7" s="853"/>
      <c r="I7" s="854"/>
      <c r="J7" s="235"/>
      <c r="K7" s="236"/>
      <c r="L7" s="236"/>
      <c r="M7" s="236"/>
      <c r="N7" s="236"/>
      <c r="O7" s="236"/>
      <c r="P7" s="236"/>
      <c r="Q7" s="236"/>
      <c r="R7" s="236"/>
      <c r="S7" s="236"/>
      <c r="T7" s="236"/>
      <c r="U7" s="236"/>
      <c r="V7" s="236"/>
      <c r="W7" s="236"/>
      <c r="X7" s="11"/>
    </row>
    <row r="8" ht="24.75" customHeight="1">
      <c r="A8" s="10"/>
      <c r="B8" s="152"/>
      <c r="C8" s="152"/>
      <c r="D8" s="848"/>
      <c r="E8" s="848"/>
      <c r="F8" s="855"/>
      <c r="G8" s="856"/>
      <c r="H8" s="856"/>
      <c r="I8" s="856"/>
      <c r="J8" s="236"/>
      <c r="K8" s="236"/>
      <c r="L8" s="236"/>
      <c r="M8" s="236"/>
      <c r="N8" s="236"/>
      <c r="O8" s="236"/>
      <c r="P8" s="236"/>
      <c r="Q8" s="236"/>
      <c r="R8" s="236"/>
      <c r="S8" s="236"/>
      <c r="T8" s="236"/>
      <c r="U8" s="236"/>
      <c r="V8" s="236"/>
      <c r="W8" s="236"/>
      <c r="X8" s="11"/>
    </row>
    <row r="9" ht="24.75" customHeight="1">
      <c r="A9" s="27"/>
      <c r="B9" t="s" s="76">
        <v>344</v>
      </c>
      <c r="C9" s="846"/>
      <c r="D9" t="s" s="857">
        <f>IF(OR(D5="BNG Targets Not Met ▲",D7="Trading Rules Not Satisfied ▲"),"Scheme alterations or offsite units required","Check for input errors/rule breaks present in the metric ⚠")</f>
        <v>345</v>
      </c>
      <c r="E9" s="858"/>
      <c r="F9" s="843"/>
      <c r="G9" s="859"/>
      <c r="H9" s="859"/>
      <c r="I9" s="859"/>
      <c r="J9" s="859"/>
      <c r="K9" s="859"/>
      <c r="L9" s="859"/>
      <c r="M9" s="859"/>
      <c r="N9" s="859"/>
      <c r="O9" s="859"/>
      <c r="P9" s="859"/>
      <c r="Q9" s="860"/>
      <c r="R9" s="859"/>
      <c r="S9" s="236"/>
      <c r="T9" s="236"/>
      <c r="U9" s="236"/>
      <c r="V9" s="236"/>
      <c r="W9" s="236"/>
      <c r="X9" s="11"/>
    </row>
    <row r="10" ht="43.5" customHeight="1">
      <c r="A10" s="10"/>
      <c r="B10" s="152"/>
      <c r="C10" s="152"/>
      <c r="D10" s="861"/>
      <c r="E10" s="861"/>
      <c r="F10" t="s" s="862">
        <v>346</v>
      </c>
      <c r="G10" s="863"/>
      <c r="H10" s="859"/>
      <c r="I10" s="859"/>
      <c r="J10" s="859"/>
      <c r="K10" s="859"/>
      <c r="L10" s="859"/>
      <c r="M10" s="859"/>
      <c r="N10" s="859"/>
      <c r="O10" s="859"/>
      <c r="P10" s="859"/>
      <c r="Q10" s="860"/>
      <c r="R10" s="859"/>
      <c r="S10" s="236"/>
      <c r="T10" s="236"/>
      <c r="U10" s="236"/>
      <c r="V10" s="236"/>
      <c r="W10" s="236"/>
      <c r="X10" s="11"/>
    </row>
    <row r="11" ht="24.75" customHeight="1">
      <c r="A11" s="27"/>
      <c r="B11" t="s" s="153">
        <v>347</v>
      </c>
      <c r="C11" t="s" s="864">
        <v>348</v>
      </c>
      <c r="D11" t="s" s="865">
        <f>IF('5. Area Habitats'!L32=0,"Zero Units Baseline",'5. Area Habitats'!L32)</f>
        <v>349</v>
      </c>
      <c r="E11" s="866"/>
      <c r="F11" s="843">
        <f>('2. Site Details'!$D$13/100)*$D$11</f>
      </c>
      <c r="G11" s="867"/>
      <c r="H11" s="859"/>
      <c r="I11" s="859"/>
      <c r="J11" s="859"/>
      <c r="K11" s="859"/>
      <c r="L11" s="859"/>
      <c r="M11" s="859"/>
      <c r="N11" s="859"/>
      <c r="O11" s="859"/>
      <c r="P11" s="859"/>
      <c r="Q11" s="860"/>
      <c r="R11" s="859"/>
      <c r="S11" s="236"/>
      <c r="T11" s="236"/>
      <c r="U11" s="236"/>
      <c r="V11" s="236"/>
      <c r="W11" s="236"/>
      <c r="X11" s="11"/>
    </row>
    <row r="12" ht="24.75" customHeight="1">
      <c r="A12" s="27"/>
      <c r="B12" s="868"/>
      <c r="C12" t="s" s="869">
        <v>350</v>
      </c>
      <c r="D12" t="s" s="870">
        <f>IF('6. Hedges &amp; Lines of Trees'!L31=0,"Zero Units Baseline",'6. Hedges &amp; Lines of Trees'!L31)</f>
        <v>349</v>
      </c>
      <c r="E12" s="871"/>
      <c r="F12" s="843">
        <f>('2. Site Details'!$D$14/100)*$D$12</f>
      </c>
      <c r="G12" s="872"/>
      <c r="H12" s="859"/>
      <c r="I12" s="859"/>
      <c r="J12" s="859"/>
      <c r="K12" s="859"/>
      <c r="L12" s="859"/>
      <c r="M12" s="859"/>
      <c r="N12" s="859"/>
      <c r="O12" s="859"/>
      <c r="P12" s="859"/>
      <c r="Q12" s="860"/>
      <c r="R12" s="859"/>
      <c r="S12" s="236"/>
      <c r="T12" s="236"/>
      <c r="U12" s="236"/>
      <c r="V12" s="236"/>
      <c r="W12" s="236"/>
      <c r="X12" s="11"/>
    </row>
    <row r="13" ht="24.75" customHeight="1">
      <c r="A13" s="27"/>
      <c r="B13" s="873"/>
      <c r="C13" t="s" s="874">
        <v>351</v>
      </c>
      <c r="D13" t="s" s="875">
        <f>IF('7. Watercourses'!L31=0,"Zero Units Baseline",'7. Watercourses'!L31)</f>
        <v>349</v>
      </c>
      <c r="E13" s="876"/>
      <c r="F13" s="843">
        <f>('2. Site Details'!$D$15/100)*$D$13</f>
      </c>
      <c r="G13" s="877"/>
      <c r="H13" s="859"/>
      <c r="I13" s="859"/>
      <c r="J13" s="859"/>
      <c r="K13" s="859"/>
      <c r="L13" s="859"/>
      <c r="M13" s="859"/>
      <c r="N13" s="859"/>
      <c r="O13" s="859"/>
      <c r="P13" s="859"/>
      <c r="Q13" s="860"/>
      <c r="R13" s="859"/>
      <c r="S13" s="236"/>
      <c r="T13" s="236"/>
      <c r="U13" s="236"/>
      <c r="V13" s="236"/>
      <c r="W13" s="236"/>
      <c r="X13" s="11"/>
    </row>
    <row r="14" ht="24.75" customHeight="1">
      <c r="A14" s="10"/>
      <c r="B14" s="152"/>
      <c r="C14" s="152"/>
      <c r="D14" s="848"/>
      <c r="E14" s="848"/>
      <c r="F14" t="s" s="862">
        <v>352</v>
      </c>
      <c r="G14" s="878"/>
      <c r="H14" s="859"/>
      <c r="I14" s="859"/>
      <c r="J14" s="859"/>
      <c r="K14" s="859"/>
      <c r="L14" s="859"/>
      <c r="M14" s="859"/>
      <c r="N14" s="859"/>
      <c r="O14" s="859"/>
      <c r="P14" s="859"/>
      <c r="Q14" s="860"/>
      <c r="R14" s="859"/>
      <c r="S14" s="236"/>
      <c r="T14" s="236"/>
      <c r="U14" s="236"/>
      <c r="V14" s="236"/>
      <c r="W14" s="236"/>
      <c r="X14" s="11"/>
    </row>
    <row r="15" ht="24.75" customHeight="1">
      <c r="A15" s="27"/>
      <c r="B15" t="s" s="153">
        <v>353</v>
      </c>
      <c r="C15" t="s" s="864">
        <v>348</v>
      </c>
      <c r="D15" s="879">
        <f>'5. Area Habitats'!P3+'5. Area Habitats'!P4+'5. Area Habitats'!P1</f>
        <v>0.0002375444</v>
      </c>
      <c r="E15" s="866"/>
      <c r="F15" s="880">
        <f>D11+F11</f>
      </c>
      <c r="G15" s="859"/>
      <c r="H15" s="859"/>
      <c r="I15" s="859"/>
      <c r="J15" s="859"/>
      <c r="K15" s="859"/>
      <c r="L15" s="859"/>
      <c r="M15" s="859"/>
      <c r="N15" s="859"/>
      <c r="O15" s="859"/>
      <c r="P15" s="859"/>
      <c r="Q15" s="860"/>
      <c r="R15" s="859"/>
      <c r="S15" s="236"/>
      <c r="T15" s="236"/>
      <c r="U15" s="236"/>
      <c r="V15" s="236"/>
      <c r="W15" s="236"/>
      <c r="X15" s="11"/>
    </row>
    <row r="16" ht="24.75" customHeight="1">
      <c r="A16" s="27"/>
      <c r="B16" s="868"/>
      <c r="C16" t="s" s="869">
        <v>350</v>
      </c>
      <c r="D16" s="881">
        <f>'6. Hedges &amp; Lines of Trees'!P3+'6. Hedges &amp; Lines of Trees'!P4+'6. Hedges &amp; Lines of Trees'!P1</f>
        <v>0</v>
      </c>
      <c r="E16" s="871"/>
      <c r="F16" s="880">
        <f>D12+F12</f>
      </c>
      <c r="G16" s="859"/>
      <c r="H16" s="859"/>
      <c r="I16" s="859"/>
      <c r="J16" s="859"/>
      <c r="K16" s="859"/>
      <c r="L16" s="859"/>
      <c r="M16" s="859"/>
      <c r="N16" s="859"/>
      <c r="O16" s="859"/>
      <c r="P16" s="859"/>
      <c r="Q16" s="860"/>
      <c r="R16" s="859"/>
      <c r="S16" s="236"/>
      <c r="T16" s="236"/>
      <c r="U16" s="236"/>
      <c r="V16" s="236"/>
      <c r="W16" s="236"/>
      <c r="X16" s="11"/>
    </row>
    <row r="17" ht="24.75" customHeight="1">
      <c r="A17" s="27"/>
      <c r="B17" s="873"/>
      <c r="C17" t="s" s="874">
        <v>351</v>
      </c>
      <c r="D17" s="882">
        <f>'7. Watercourses'!P3+'7. Watercourses'!P4+'7. Watercourses'!P1</f>
        <v>0</v>
      </c>
      <c r="E17" s="876"/>
      <c r="F17" s="880">
        <f>D13+F13</f>
      </c>
      <c r="G17" s="859"/>
      <c r="H17" s="859"/>
      <c r="I17" s="859"/>
      <c r="J17" s="859"/>
      <c r="K17" s="859"/>
      <c r="L17" s="859"/>
      <c r="M17" s="859"/>
      <c r="N17" s="859"/>
      <c r="O17" s="859"/>
      <c r="P17" s="859"/>
      <c r="Q17" s="860"/>
      <c r="R17" s="859"/>
      <c r="S17" s="236"/>
      <c r="T17" s="236"/>
      <c r="U17" s="236"/>
      <c r="V17" s="236"/>
      <c r="W17" s="236"/>
      <c r="X17" s="11"/>
    </row>
    <row r="18" ht="24.75" customHeight="1">
      <c r="A18" s="10"/>
      <c r="B18" s="152"/>
      <c r="C18" s="152"/>
      <c r="D18" s="848"/>
      <c r="E18" s="848"/>
      <c r="F18" s="845"/>
      <c r="G18" s="859"/>
      <c r="H18" s="859"/>
      <c r="I18" s="859"/>
      <c r="J18" s="859"/>
      <c r="K18" s="859"/>
      <c r="L18" s="859"/>
      <c r="M18" s="859"/>
      <c r="N18" s="859"/>
      <c r="O18" s="859"/>
      <c r="P18" s="859"/>
      <c r="Q18" s="860"/>
      <c r="R18" s="859"/>
      <c r="S18" s="236"/>
      <c r="T18" s="236"/>
      <c r="U18" s="236"/>
      <c r="V18" s="236"/>
      <c r="W18" s="236"/>
      <c r="X18" s="11"/>
    </row>
    <row r="19" ht="24.75" customHeight="1">
      <c r="A19" s="27"/>
      <c r="B19" t="s" s="153">
        <v>354</v>
      </c>
      <c r="C19" t="s" s="864">
        <v>348</v>
      </c>
      <c r="D19" s="883">
        <f>'5. Area Habitats'!P5</f>
        <v>0.0002375444</v>
      </c>
      <c r="E19" s="884"/>
      <c r="F19" s="885">
        <f>F11/D11</f>
      </c>
      <c r="G19" s="859"/>
      <c r="H19" s="859"/>
      <c r="I19" s="859"/>
      <c r="J19" s="859"/>
      <c r="K19" s="859"/>
      <c r="L19" s="859"/>
      <c r="M19" s="859"/>
      <c r="N19" s="859"/>
      <c r="O19" s="859"/>
      <c r="P19" s="859"/>
      <c r="Q19" s="860"/>
      <c r="R19" s="859"/>
      <c r="S19" s="236"/>
      <c r="T19" s="236"/>
      <c r="U19" s="236"/>
      <c r="V19" s="236"/>
      <c r="W19" s="236"/>
      <c r="X19" s="11"/>
    </row>
    <row r="20" ht="24.75" customHeight="1">
      <c r="A20" s="27"/>
      <c r="B20" s="868"/>
      <c r="C20" t="s" s="869">
        <v>350</v>
      </c>
      <c r="D20" s="886">
        <f>'6. Hedges &amp; Lines of Trees'!P5</f>
        <v>0</v>
      </c>
      <c r="E20" s="887"/>
      <c r="F20" s="885">
        <f>F12/D12</f>
      </c>
      <c r="G20" s="859"/>
      <c r="H20" s="859"/>
      <c r="I20" s="859"/>
      <c r="J20" s="859"/>
      <c r="K20" s="859"/>
      <c r="L20" s="859"/>
      <c r="M20" s="859"/>
      <c r="N20" s="859"/>
      <c r="O20" s="859"/>
      <c r="P20" s="859"/>
      <c r="Q20" s="860"/>
      <c r="R20" s="859"/>
      <c r="S20" s="236"/>
      <c r="T20" s="236"/>
      <c r="U20" s="236"/>
      <c r="V20" s="236"/>
      <c r="W20" s="236"/>
      <c r="X20" s="11"/>
    </row>
    <row r="21" ht="24.75" customHeight="1">
      <c r="A21" s="27"/>
      <c r="B21" s="873"/>
      <c r="C21" t="s" s="874">
        <v>351</v>
      </c>
      <c r="D21" s="888">
        <f>'7. Watercourses'!P5</f>
        <v>0</v>
      </c>
      <c r="E21" s="889"/>
      <c r="F21" s="885">
        <f>F13/D13</f>
      </c>
      <c r="G21" s="859"/>
      <c r="H21" s="859"/>
      <c r="I21" s="859"/>
      <c r="J21" s="859"/>
      <c r="K21" s="859"/>
      <c r="L21" s="859"/>
      <c r="M21" s="859"/>
      <c r="N21" s="859"/>
      <c r="O21" s="859"/>
      <c r="P21" s="859"/>
      <c r="Q21" s="860"/>
      <c r="R21" s="859"/>
      <c r="S21" s="236"/>
      <c r="T21" s="236"/>
      <c r="U21" s="236"/>
      <c r="V21" s="236"/>
      <c r="W21" s="236"/>
      <c r="X21" s="11"/>
    </row>
    <row r="22" ht="24.75" customHeight="1">
      <c r="A22" s="10"/>
      <c r="B22" s="890"/>
      <c r="C22" s="93"/>
      <c r="D22" s="891"/>
      <c r="E22" s="891"/>
      <c r="F22" s="845"/>
      <c r="G22" s="859"/>
      <c r="H22" s="859"/>
      <c r="I22" s="859"/>
      <c r="J22" s="859"/>
      <c r="K22" s="859"/>
      <c r="L22" s="859"/>
      <c r="M22" s="859"/>
      <c r="N22" s="859"/>
      <c r="O22" s="859"/>
      <c r="P22" s="859"/>
      <c r="Q22" s="860"/>
      <c r="R22" s="859"/>
      <c r="S22" s="236"/>
      <c r="T22" s="236"/>
      <c r="U22" s="236"/>
      <c r="V22" s="236"/>
      <c r="W22" s="236"/>
      <c r="X22" s="11"/>
    </row>
    <row r="23" ht="24.75" customHeight="1">
      <c r="A23" s="27"/>
      <c r="B23" t="s" s="129">
        <v>355</v>
      </c>
      <c r="C23" t="s" s="864">
        <v>348</v>
      </c>
      <c r="D23" t="s" s="892">
        <f>IF(D11="Zero Units Baseline","% target not appropriate",D19/D11)</f>
        <v>356</v>
      </c>
      <c r="E23" s="893"/>
      <c r="F23" s="843">
        <f>$D$23*100</f>
      </c>
      <c r="G23" s="859"/>
      <c r="H23" s="859"/>
      <c r="I23" s="859"/>
      <c r="J23" s="859"/>
      <c r="K23" s="859"/>
      <c r="L23" s="859"/>
      <c r="M23" s="859"/>
      <c r="N23" s="859"/>
      <c r="O23" s="859"/>
      <c r="P23" s="859"/>
      <c r="Q23" s="860"/>
      <c r="R23" s="859"/>
      <c r="S23" s="236"/>
      <c r="T23" s="236"/>
      <c r="U23" s="236"/>
      <c r="V23" s="236"/>
      <c r="W23" s="236"/>
      <c r="X23" s="11"/>
    </row>
    <row r="24" ht="24.75" customHeight="1">
      <c r="A24" s="27"/>
      <c r="B24" s="894"/>
      <c r="C24" t="s" s="869">
        <v>350</v>
      </c>
      <c r="D24" t="s" s="895">
        <f>IF(D12="Zero Units Baseline","% target not appropriate",D20/D12)</f>
        <v>356</v>
      </c>
      <c r="E24" s="896"/>
      <c r="F24" s="843">
        <f>$D$24*100</f>
      </c>
      <c r="G24" s="859"/>
      <c r="H24" s="859"/>
      <c r="I24" s="859"/>
      <c r="J24" s="859"/>
      <c r="K24" s="859"/>
      <c r="L24" s="859"/>
      <c r="M24" s="859"/>
      <c r="N24" s="859"/>
      <c r="O24" s="859"/>
      <c r="P24" s="859"/>
      <c r="Q24" s="860"/>
      <c r="R24" s="859"/>
      <c r="S24" s="236"/>
      <c r="T24" s="236"/>
      <c r="U24" s="236"/>
      <c r="V24" s="236"/>
      <c r="W24" s="236"/>
      <c r="X24" s="11"/>
    </row>
    <row r="25" ht="24.75" customHeight="1">
      <c r="A25" s="27"/>
      <c r="B25" s="897"/>
      <c r="C25" t="s" s="874">
        <v>351</v>
      </c>
      <c r="D25" t="s" s="898">
        <f>IF(D13="Zero Units Baseline","% target not appropriate",D21/D13)</f>
        <v>356</v>
      </c>
      <c r="E25" s="899"/>
      <c r="F25" s="843">
        <f>$D$25*100</f>
      </c>
      <c r="G25" s="859"/>
      <c r="H25" s="859"/>
      <c r="I25" s="859"/>
      <c r="J25" s="859"/>
      <c r="K25" s="859"/>
      <c r="L25" s="859"/>
      <c r="M25" s="859"/>
      <c r="N25" s="859"/>
      <c r="O25" s="859"/>
      <c r="P25" s="859"/>
      <c r="Q25" s="860"/>
      <c r="R25" s="859"/>
      <c r="S25" s="236"/>
      <c r="T25" s="236"/>
      <c r="U25" s="236"/>
      <c r="V25" s="236"/>
      <c r="W25" s="236"/>
      <c r="X25" s="11"/>
    </row>
    <row r="26" ht="24.75" customHeight="1">
      <c r="A26" s="10"/>
      <c r="B26" s="152"/>
      <c r="C26" s="152"/>
      <c r="D26" s="848"/>
      <c r="E26" s="848"/>
      <c r="F26" s="845"/>
      <c r="G26" s="859"/>
      <c r="H26" s="859"/>
      <c r="I26" s="859"/>
      <c r="J26" s="859"/>
      <c r="K26" s="859"/>
      <c r="L26" s="859"/>
      <c r="M26" s="859"/>
      <c r="N26" s="859"/>
      <c r="O26" s="859"/>
      <c r="P26" s="859"/>
      <c r="Q26" s="860"/>
      <c r="R26" s="859"/>
      <c r="S26" s="236"/>
      <c r="T26" s="236"/>
      <c r="U26" s="236"/>
      <c r="V26" s="236"/>
      <c r="W26" s="236"/>
      <c r="X26" s="11"/>
    </row>
    <row r="27" ht="24.75" customHeight="1">
      <c r="A27" s="27"/>
      <c r="B27" t="s" s="118">
        <v>357</v>
      </c>
      <c r="C27" s="900"/>
      <c r="D27" s="901">
        <f>_xlfn.IFERROR(IF(D11="Zero Units Baseline",IF('2. Site Details'!D17&lt;=D15,0,'2. Site Details'!D17-D15),(IF((D11*(1+('2. Site Details'!D13/100)))-D15&lt;0,0,F15-D15))),"")</f>
        <v>0</v>
      </c>
      <c r="E27" s="902"/>
      <c r="F27" s="843"/>
      <c r="G27" s="859"/>
      <c r="H27" s="859"/>
      <c r="I27" s="859"/>
      <c r="J27" s="859"/>
      <c r="K27" s="859"/>
      <c r="L27" s="859"/>
      <c r="M27" s="859"/>
      <c r="N27" s="859"/>
      <c r="O27" s="859"/>
      <c r="P27" s="859"/>
      <c r="Q27" s="860"/>
      <c r="R27" s="859"/>
      <c r="S27" s="236"/>
      <c r="T27" s="236"/>
      <c r="U27" s="236"/>
      <c r="V27" s="236"/>
      <c r="W27" s="236"/>
      <c r="X27" s="11"/>
    </row>
    <row r="28" ht="24.75" customHeight="1">
      <c r="A28" s="27"/>
      <c r="B28" t="s" s="903">
        <v>358</v>
      </c>
      <c r="C28" s="904"/>
      <c r="D28" s="905">
        <f>_xlfn.IFERROR(IF(D12="Zero Units Baseline",IF('2. Site Details'!D18&lt;=D16,0,'2. Site Details'!D18-D16),(IF((D12*(1+('2. Site Details'!D14/100)))-D16&lt;0,0,F16-D16))),"")</f>
        <v>0</v>
      </c>
      <c r="E28" s="906"/>
      <c r="F28" s="843"/>
      <c r="G28" s="907"/>
      <c r="H28" s="859"/>
      <c r="I28" s="859"/>
      <c r="J28" s="859"/>
      <c r="K28" s="859"/>
      <c r="L28" s="859"/>
      <c r="M28" s="859"/>
      <c r="N28" s="859"/>
      <c r="O28" s="859"/>
      <c r="P28" s="859"/>
      <c r="Q28" s="860"/>
      <c r="R28" s="859"/>
      <c r="S28" s="236"/>
      <c r="T28" s="236"/>
      <c r="U28" s="236"/>
      <c r="V28" s="236"/>
      <c r="W28" s="236"/>
      <c r="X28" s="11"/>
    </row>
    <row r="29" ht="24.75" customHeight="1">
      <c r="A29" s="27"/>
      <c r="B29" t="s" s="121">
        <v>359</v>
      </c>
      <c r="C29" s="908"/>
      <c r="D29" s="909">
        <f>_xlfn.IFERROR(IF(D13="Zero Units Baseline",IF('2. Site Details'!D19&lt;=D17,0,'2. Site Details'!D19-D17),(IF((D13*(1+('2. Site Details'!D15/100)))-D17&lt;0,0,F17-D17))),"")</f>
        <v>0</v>
      </c>
      <c r="E29" s="910"/>
      <c r="F29" s="843"/>
      <c r="G29" s="859"/>
      <c r="H29" s="859"/>
      <c r="I29" s="859"/>
      <c r="J29" s="859"/>
      <c r="K29" s="859"/>
      <c r="L29" s="859"/>
      <c r="M29" s="859"/>
      <c r="N29" s="859"/>
      <c r="O29" s="859"/>
      <c r="P29" s="859"/>
      <c r="Q29" s="860"/>
      <c r="R29" s="859"/>
      <c r="S29" s="236"/>
      <c r="T29" s="236"/>
      <c r="U29" s="236"/>
      <c r="V29" s="236"/>
      <c r="W29" s="236"/>
      <c r="X29" s="11"/>
    </row>
    <row r="30" ht="10.35" customHeight="1">
      <c r="A30" s="10"/>
      <c r="B30" s="71"/>
      <c r="C30" s="71"/>
      <c r="D30" s="911"/>
      <c r="E30" s="911"/>
      <c r="F30" s="845"/>
      <c r="G30" s="859"/>
      <c r="H30" s="859"/>
      <c r="I30" s="859"/>
      <c r="J30" s="859"/>
      <c r="K30" s="859"/>
      <c r="L30" s="859"/>
      <c r="M30" s="859"/>
      <c r="N30" s="859"/>
      <c r="O30" s="859"/>
      <c r="P30" s="859"/>
      <c r="Q30" s="860"/>
      <c r="R30" s="859"/>
      <c r="S30" s="236"/>
      <c r="T30" s="236"/>
      <c r="U30" s="236"/>
      <c r="V30" s="236"/>
      <c r="W30" s="236"/>
      <c r="X30" s="11"/>
    </row>
    <row r="31" ht="20.1" customHeight="1">
      <c r="A31" s="10"/>
      <c r="B31" s="912"/>
      <c r="C31" s="11"/>
      <c r="D31" s="913"/>
      <c r="E31" s="913"/>
      <c r="F31" s="845"/>
      <c r="G31" s="859"/>
      <c r="H31" s="859"/>
      <c r="I31" s="859"/>
      <c r="J31" s="859"/>
      <c r="K31" s="859"/>
      <c r="L31" s="859"/>
      <c r="M31" s="859"/>
      <c r="N31" s="859"/>
      <c r="O31" s="859"/>
      <c r="P31" s="859"/>
      <c r="Q31" s="860"/>
      <c r="R31" s="859"/>
      <c r="S31" s="236"/>
      <c r="T31" s="236"/>
      <c r="U31" s="236"/>
      <c r="V31" s="236"/>
      <c r="W31" s="236"/>
      <c r="X31" s="11"/>
    </row>
    <row r="32" ht="9" customHeight="1">
      <c r="A32" s="10"/>
      <c r="B32" s="11"/>
      <c r="C32" s="11"/>
      <c r="D32" s="913"/>
      <c r="E32" s="913"/>
      <c r="F32" s="845"/>
      <c r="G32" s="11"/>
      <c r="H32" s="859"/>
      <c r="I32" s="859"/>
      <c r="J32" s="859"/>
      <c r="K32" s="859"/>
      <c r="L32" s="859"/>
      <c r="M32" s="859"/>
      <c r="N32" s="859"/>
      <c r="O32" s="859"/>
      <c r="P32" s="859"/>
      <c r="Q32" s="860"/>
      <c r="R32" s="859"/>
      <c r="S32" s="236"/>
      <c r="T32" s="236"/>
      <c r="U32" s="236"/>
      <c r="V32" s="236"/>
      <c r="W32" s="236"/>
      <c r="X32" s="11"/>
    </row>
    <row r="33" ht="23.45" customHeight="1">
      <c r="A33" s="10"/>
      <c r="B33" t="s" s="914">
        <v>360</v>
      </c>
      <c r="C33" s="11"/>
      <c r="D33" s="913"/>
      <c r="E33" s="913"/>
      <c r="F33" s="845"/>
      <c r="G33" s="859"/>
      <c r="H33" s="859"/>
      <c r="I33" s="859"/>
      <c r="J33" s="859"/>
      <c r="K33" s="859"/>
      <c r="L33" s="859"/>
      <c r="M33" s="859"/>
      <c r="N33" s="859"/>
      <c r="O33" s="859"/>
      <c r="P33" s="859"/>
      <c r="Q33" s="860"/>
      <c r="R33" s="859"/>
      <c r="S33" s="11"/>
      <c r="T33" s="11"/>
      <c r="U33" s="11"/>
      <c r="V33" s="11"/>
      <c r="W33" s="11"/>
      <c r="X33" s="11"/>
    </row>
    <row r="34" ht="23.45" customHeight="1">
      <c r="A34" s="915"/>
      <c r="B34" s="912"/>
      <c r="C34" s="11"/>
      <c r="D34" s="913"/>
      <c r="E34" s="913"/>
      <c r="F34" s="916"/>
      <c r="G34" s="11"/>
      <c r="H34" s="11"/>
      <c r="I34" s="11"/>
      <c r="J34" s="11"/>
      <c r="K34" s="11"/>
      <c r="L34" s="11"/>
      <c r="M34" s="11"/>
      <c r="N34" s="11"/>
      <c r="O34" s="11"/>
      <c r="P34" s="859"/>
      <c r="Q34" s="860"/>
      <c r="R34" s="859"/>
      <c r="S34" s="859"/>
      <c r="T34" s="859"/>
      <c r="U34" s="859"/>
      <c r="V34" s="859"/>
      <c r="W34" s="859"/>
      <c r="X34" s="859"/>
    </row>
    <row r="35" ht="23.45" customHeight="1">
      <c r="A35" s="915"/>
      <c r="B35" s="11"/>
      <c r="C35" t="s" s="917">
        <v>361</v>
      </c>
      <c r="D35" t="s" s="917">
        <v>362</v>
      </c>
      <c r="E35" s="236"/>
      <c r="F35" s="916"/>
      <c r="G35" s="11"/>
      <c r="H35" s="11"/>
      <c r="I35" s="11"/>
      <c r="J35" s="11"/>
      <c r="K35" s="11"/>
      <c r="L35" s="11"/>
      <c r="M35" s="11"/>
      <c r="N35" s="11"/>
      <c r="O35" s="11"/>
      <c r="P35" s="859"/>
      <c r="Q35" s="860"/>
      <c r="R35" s="859"/>
      <c r="S35" s="859"/>
      <c r="T35" s="859"/>
      <c r="U35" s="859"/>
      <c r="V35" s="859"/>
      <c r="W35" s="859"/>
      <c r="X35" s="859"/>
    </row>
    <row r="36" ht="23.45" customHeight="1">
      <c r="A36" s="27"/>
      <c r="B36" t="s" s="918">
        <v>348</v>
      </c>
      <c r="C36" s="919">
        <f>IF(D11="Zero Units Baseline",0,D11)</f>
        <v>0</v>
      </c>
      <c r="D36" s="919">
        <f>D15</f>
        <v>0.0002375444</v>
      </c>
      <c r="E36" s="920"/>
      <c r="F36" s="845"/>
      <c r="G36" s="11"/>
      <c r="H36" s="11"/>
      <c r="I36" s="11"/>
      <c r="J36" s="11"/>
      <c r="K36" s="11"/>
      <c r="L36" s="11"/>
      <c r="M36" s="11"/>
      <c r="N36" s="11"/>
      <c r="O36" s="11"/>
      <c r="P36" s="11"/>
      <c r="Q36" s="860"/>
      <c r="R36" s="859"/>
      <c r="S36" s="859"/>
      <c r="T36" s="859"/>
      <c r="U36" s="859"/>
      <c r="V36" s="859"/>
      <c r="W36" s="859"/>
      <c r="X36" s="11"/>
    </row>
    <row r="37" ht="23.45" customHeight="1">
      <c r="A37" s="27"/>
      <c r="B37" t="s" s="918">
        <v>350</v>
      </c>
      <c r="C37" s="919">
        <f>IF(D12="Zero Units Baseline",0,D12)</f>
        <v>0</v>
      </c>
      <c r="D37" s="919">
        <f>D16</f>
        <v>0</v>
      </c>
      <c r="E37" s="920"/>
      <c r="F37" s="845"/>
      <c r="G37" s="11"/>
      <c r="H37" s="11"/>
      <c r="I37" s="11"/>
      <c r="J37" s="11"/>
      <c r="K37" s="11"/>
      <c r="L37" s="11"/>
      <c r="M37" s="11"/>
      <c r="N37" s="11"/>
      <c r="O37" s="11"/>
      <c r="P37" s="11"/>
      <c r="Q37" s="860"/>
      <c r="R37" s="859"/>
      <c r="S37" s="859"/>
      <c r="T37" s="859"/>
      <c r="U37" s="859"/>
      <c r="V37" s="859"/>
      <c r="W37" s="859"/>
      <c r="X37" s="11"/>
    </row>
    <row r="38" ht="23.45" customHeight="1">
      <c r="A38" s="27"/>
      <c r="B38" t="s" s="918">
        <v>363</v>
      </c>
      <c r="C38" s="921">
        <f>IF(D13="Zero Units Baseline",0,D13)</f>
        <v>0</v>
      </c>
      <c r="D38" s="921">
        <f>D17</f>
        <v>0</v>
      </c>
      <c r="E38" s="920"/>
      <c r="F38" s="845"/>
      <c r="G38" s="11"/>
      <c r="H38" s="11"/>
      <c r="I38" s="11"/>
      <c r="J38" s="11"/>
      <c r="K38" s="11"/>
      <c r="L38" s="11"/>
      <c r="M38" s="11"/>
      <c r="N38" s="11"/>
      <c r="O38" s="11"/>
      <c r="P38" s="11"/>
      <c r="Q38" s="860"/>
      <c r="R38" s="859"/>
      <c r="S38" s="859"/>
      <c r="T38" s="859"/>
      <c r="U38" s="859"/>
      <c r="V38" s="859"/>
      <c r="W38" s="859"/>
      <c r="X38" s="11"/>
    </row>
    <row r="39" ht="23.45" customHeight="1">
      <c r="A39" s="10"/>
      <c r="B39" s="912"/>
      <c r="C39" s="922"/>
      <c r="D39" s="923"/>
      <c r="E39" s="913"/>
      <c r="F39" s="845"/>
      <c r="G39" s="11"/>
      <c r="H39" s="11"/>
      <c r="I39" s="11"/>
      <c r="J39" s="11"/>
      <c r="K39" s="11"/>
      <c r="L39" s="11"/>
      <c r="M39" s="11"/>
      <c r="N39" s="11"/>
      <c r="O39" s="11"/>
      <c r="P39" s="11"/>
      <c r="Q39" s="860"/>
      <c r="R39" s="859"/>
      <c r="S39" s="859"/>
      <c r="T39" s="859"/>
      <c r="U39" s="859"/>
      <c r="V39" s="859"/>
      <c r="W39" s="859"/>
      <c r="X39" s="11"/>
    </row>
    <row r="40" ht="23.45" customHeight="1">
      <c r="A40" s="10"/>
      <c r="B40" s="912"/>
      <c r="C40" s="11"/>
      <c r="D40" s="913"/>
      <c r="E40" s="913"/>
      <c r="F40" s="845"/>
      <c r="G40" s="11"/>
      <c r="H40" s="11"/>
      <c r="I40" s="11"/>
      <c r="J40" s="11"/>
      <c r="K40" s="11"/>
      <c r="L40" s="11"/>
      <c r="M40" s="11"/>
      <c r="N40" s="11"/>
      <c r="O40" s="11"/>
      <c r="P40" s="11"/>
      <c r="Q40" s="860"/>
      <c r="R40" s="859"/>
      <c r="S40" s="859"/>
      <c r="T40" s="859"/>
      <c r="U40" s="859"/>
      <c r="V40" s="859"/>
      <c r="W40" s="859"/>
      <c r="X40" s="11"/>
    </row>
    <row r="41" ht="23.45" customHeight="1">
      <c r="A41" s="10"/>
      <c r="B41" s="912"/>
      <c r="C41" s="11"/>
      <c r="D41" s="913"/>
      <c r="E41" s="913"/>
      <c r="F41" s="845"/>
      <c r="G41" s="11"/>
      <c r="H41" s="11"/>
      <c r="I41" s="11"/>
      <c r="J41" s="11"/>
      <c r="K41" s="11"/>
      <c r="L41" s="11"/>
      <c r="M41" s="11"/>
      <c r="N41" s="11"/>
      <c r="O41" s="11"/>
      <c r="P41" s="11"/>
      <c r="Q41" s="860"/>
      <c r="R41" s="859"/>
      <c r="S41" s="859"/>
      <c r="T41" s="859"/>
      <c r="U41" s="859"/>
      <c r="V41" s="859"/>
      <c r="W41" s="859"/>
      <c r="X41" s="11"/>
    </row>
    <row r="42" ht="23.45" customHeight="1">
      <c r="A42" s="10"/>
      <c r="B42" s="912"/>
      <c r="C42" s="11"/>
      <c r="D42" s="913"/>
      <c r="E42" s="913"/>
      <c r="F42" s="845"/>
      <c r="G42" s="924"/>
      <c r="H42" s="924"/>
      <c r="I42" s="924"/>
      <c r="J42" s="924"/>
      <c r="K42" s="924"/>
      <c r="L42" s="924"/>
      <c r="M42" s="925"/>
      <c r="N42" s="925"/>
      <c r="O42" s="11"/>
      <c r="P42" s="11"/>
      <c r="Q42" s="860"/>
      <c r="R42" s="859"/>
      <c r="S42" s="859"/>
      <c r="T42" s="859"/>
      <c r="U42" s="859"/>
      <c r="V42" s="859"/>
      <c r="W42" s="859"/>
      <c r="X42" s="11"/>
    </row>
    <row r="43" ht="23.45" customHeight="1">
      <c r="A43" s="10"/>
      <c r="B43" s="912"/>
      <c r="C43" s="11"/>
      <c r="D43" s="913"/>
      <c r="E43" s="913"/>
      <c r="F43" s="845"/>
      <c r="G43" s="11"/>
      <c r="H43" s="11"/>
      <c r="I43" s="11"/>
      <c r="J43" s="11"/>
      <c r="K43" s="11"/>
      <c r="L43" s="11"/>
      <c r="M43" s="11"/>
      <c r="N43" s="11"/>
      <c r="O43" s="11"/>
      <c r="P43" s="11"/>
      <c r="Q43" s="11"/>
      <c r="R43" s="11"/>
      <c r="S43" s="11"/>
      <c r="T43" s="11"/>
      <c r="U43" s="11"/>
      <c r="V43" s="11"/>
      <c r="W43" s="11"/>
      <c r="X43" s="11"/>
    </row>
    <row r="44" ht="36.75" customHeight="1">
      <c r="A44" s="10"/>
      <c r="B44" s="912"/>
      <c r="C44" s="11"/>
      <c r="D44" s="913"/>
      <c r="E44" s="913"/>
      <c r="F44" s="845"/>
      <c r="G44" s="11"/>
      <c r="H44" s="11"/>
      <c r="I44" s="11"/>
      <c r="J44" s="11"/>
      <c r="K44" s="11"/>
      <c r="L44" s="11"/>
      <c r="M44" s="11"/>
      <c r="N44" s="11"/>
      <c r="O44" s="11"/>
      <c r="P44" s="11"/>
      <c r="Q44" s="11"/>
      <c r="R44" s="11"/>
      <c r="S44" s="11"/>
      <c r="T44" s="11"/>
      <c r="U44" s="11"/>
      <c r="V44" s="11"/>
      <c r="W44" s="11"/>
      <c r="X44" s="11"/>
    </row>
    <row r="45" ht="21" customHeight="1">
      <c r="A45" s="10"/>
      <c r="B45" s="912"/>
      <c r="C45" s="11"/>
      <c r="D45" s="913"/>
      <c r="E45" s="913"/>
      <c r="F45" s="845"/>
      <c r="G45" s="11"/>
      <c r="H45" s="11"/>
      <c r="I45" s="11"/>
      <c r="J45" s="11"/>
      <c r="K45" s="11"/>
      <c r="L45" s="11"/>
      <c r="M45" s="11"/>
      <c r="N45" s="11"/>
      <c r="O45" s="11"/>
      <c r="P45" s="11"/>
      <c r="Q45" s="11"/>
      <c r="R45" s="11"/>
      <c r="S45" s="11"/>
      <c r="T45" s="11"/>
      <c r="U45" s="11"/>
      <c r="V45" s="11"/>
      <c r="W45" s="11"/>
      <c r="X45" s="11"/>
    </row>
    <row r="46" ht="21" customHeight="1">
      <c r="A46" s="915"/>
      <c r="B46" s="912"/>
      <c r="C46" s="11"/>
      <c r="D46" s="913"/>
      <c r="E46" s="913"/>
      <c r="F46" s="916"/>
      <c r="G46" s="912"/>
      <c r="H46" s="859"/>
      <c r="I46" s="859"/>
      <c r="J46" s="859"/>
      <c r="K46" s="859"/>
      <c r="L46" s="859"/>
      <c r="M46" s="859"/>
      <c r="N46" s="859"/>
      <c r="O46" s="859"/>
      <c r="P46" s="859"/>
      <c r="Q46" s="859"/>
      <c r="R46" s="859"/>
      <c r="S46" s="859"/>
      <c r="T46" s="859"/>
      <c r="U46" s="859"/>
      <c r="V46" s="859"/>
      <c r="W46" s="859"/>
      <c r="X46" s="859"/>
    </row>
    <row r="47" ht="21" customHeight="1">
      <c r="A47" s="915"/>
      <c r="B47" s="912"/>
      <c r="C47" s="11"/>
      <c r="D47" s="913"/>
      <c r="E47" s="913"/>
      <c r="F47" s="916"/>
      <c r="G47" s="912"/>
      <c r="H47" s="859"/>
      <c r="I47" s="859"/>
      <c r="J47" s="859"/>
      <c r="K47" s="859"/>
      <c r="L47" s="859"/>
      <c r="M47" s="859"/>
      <c r="N47" s="859"/>
      <c r="O47" s="859"/>
      <c r="P47" s="859"/>
      <c r="Q47" s="859"/>
      <c r="R47" s="859"/>
      <c r="S47" s="859"/>
      <c r="T47" s="859"/>
      <c r="U47" s="859"/>
      <c r="V47" s="859"/>
      <c r="W47" s="859"/>
      <c r="X47" s="859"/>
    </row>
    <row r="48" ht="21" customHeight="1">
      <c r="A48" s="915"/>
      <c r="B48" s="912"/>
      <c r="C48" s="11"/>
      <c r="D48" s="913"/>
      <c r="E48" s="913"/>
      <c r="F48" s="916"/>
      <c r="G48" s="912"/>
      <c r="H48" s="859"/>
      <c r="I48" s="859"/>
      <c r="J48" s="859"/>
      <c r="K48" s="859"/>
      <c r="L48" s="859"/>
      <c r="M48" s="859"/>
      <c r="N48" s="859"/>
      <c r="O48" s="859"/>
      <c r="P48" s="859"/>
      <c r="Q48" s="859"/>
      <c r="R48" s="859"/>
      <c r="S48" s="859"/>
      <c r="T48" s="859"/>
      <c r="U48" s="859"/>
      <c r="V48" s="859"/>
      <c r="W48" s="859"/>
      <c r="X48" s="859"/>
    </row>
    <row r="49" ht="23.45" customHeight="1">
      <c r="A49" s="10"/>
      <c r="B49" s="912"/>
      <c r="C49" s="11"/>
      <c r="D49" s="913"/>
      <c r="E49" s="913"/>
      <c r="F49" s="845"/>
      <c r="G49" s="912"/>
      <c r="H49" s="859"/>
      <c r="I49" s="859"/>
      <c r="J49" s="859"/>
      <c r="K49" s="859"/>
      <c r="L49" s="859"/>
      <c r="M49" s="11"/>
      <c r="N49" s="11"/>
      <c r="O49" s="11"/>
      <c r="P49" s="11"/>
      <c r="Q49" s="926"/>
      <c r="R49" s="926"/>
      <c r="S49" s="926"/>
      <c r="T49" s="926"/>
      <c r="U49" s="926"/>
      <c r="V49" s="926"/>
      <c r="W49" s="926"/>
      <c r="X49" s="926"/>
    </row>
    <row r="50" ht="18" customHeight="1">
      <c r="A50" s="10"/>
      <c r="B50" s="11"/>
      <c r="C50" s="859"/>
      <c r="D50" s="859"/>
      <c r="E50" s="859"/>
      <c r="F50" s="845"/>
      <c r="G50" s="912"/>
      <c r="H50" s="859"/>
      <c r="I50" s="859"/>
      <c r="J50" s="859"/>
      <c r="K50" s="859"/>
      <c r="L50" s="859"/>
      <c r="M50" s="11"/>
      <c r="N50" s="11"/>
      <c r="O50" s="11"/>
      <c r="P50" s="11"/>
      <c r="Q50" s="926"/>
      <c r="R50" s="926"/>
      <c r="S50" s="926"/>
      <c r="T50" s="926"/>
      <c r="U50" s="926"/>
      <c r="V50" s="926"/>
      <c r="W50" s="926"/>
      <c r="X50" s="926"/>
    </row>
    <row r="51" ht="18.75" customHeight="1">
      <c r="A51" s="10"/>
      <c r="B51" s="11"/>
      <c r="C51" s="859"/>
      <c r="D51" s="859"/>
      <c r="E51" s="859"/>
      <c r="F51" s="845"/>
      <c r="G51" s="912"/>
      <c r="H51" s="859"/>
      <c r="I51" s="859"/>
      <c r="J51" s="859"/>
      <c r="K51" s="859"/>
      <c r="L51" s="859"/>
      <c r="M51" s="11"/>
      <c r="N51" s="11"/>
      <c r="O51" s="11"/>
      <c r="P51" s="11"/>
      <c r="Q51" s="11"/>
      <c r="R51" s="11"/>
      <c r="S51" s="11"/>
      <c r="T51" s="11"/>
      <c r="U51" s="11"/>
      <c r="V51" s="11"/>
      <c r="W51" s="11"/>
      <c r="X51" s="11"/>
    </row>
    <row r="52" ht="18.75" customHeight="1" hidden="1">
      <c r="A52" s="10"/>
      <c r="B52" s="11"/>
      <c r="C52" s="859"/>
      <c r="D52" s="859"/>
      <c r="E52" s="859"/>
      <c r="F52" s="859"/>
      <c r="G52" s="912"/>
      <c r="H52" s="859"/>
      <c r="I52" s="859"/>
      <c r="J52" s="859"/>
      <c r="K52" s="859"/>
      <c r="L52" s="859"/>
      <c r="M52" s="11"/>
      <c r="N52" s="11"/>
      <c r="O52" s="11"/>
      <c r="P52" s="11"/>
      <c r="Q52" s="220"/>
      <c r="R52" s="11"/>
      <c r="S52" s="11"/>
      <c r="T52" s="11"/>
      <c r="U52" s="11"/>
      <c r="V52" s="11"/>
      <c r="W52" s="11"/>
      <c r="X52" s="11"/>
    </row>
    <row r="53" ht="18.75" customHeight="1" hidden="1">
      <c r="A53" s="10"/>
      <c r="B53" s="11"/>
      <c r="C53" s="859"/>
      <c r="D53" s="859"/>
      <c r="E53" s="859"/>
      <c r="F53" s="859"/>
      <c r="G53" s="912"/>
      <c r="H53" s="859"/>
      <c r="I53" s="859"/>
      <c r="J53" s="859"/>
      <c r="K53" s="859"/>
      <c r="L53" s="859"/>
      <c r="M53" s="11"/>
      <c r="N53" s="11"/>
      <c r="O53" s="11"/>
      <c r="P53" s="11"/>
      <c r="Q53" s="11"/>
      <c r="R53" s="11"/>
      <c r="S53" s="11"/>
      <c r="T53" s="11"/>
      <c r="U53" s="11"/>
      <c r="V53" s="11"/>
      <c r="W53" s="11"/>
      <c r="X53" s="11"/>
    </row>
    <row r="54" ht="18" customHeight="1" hidden="1">
      <c r="A54" s="10"/>
      <c r="B54" s="11"/>
      <c r="C54" s="859"/>
      <c r="D54" s="859"/>
      <c r="E54" s="859"/>
      <c r="F54" s="859"/>
      <c r="G54" s="912"/>
      <c r="H54" s="859"/>
      <c r="I54" s="859"/>
      <c r="J54" s="859"/>
      <c r="K54" s="859"/>
      <c r="L54" s="859"/>
      <c r="M54" s="11"/>
      <c r="N54" s="11"/>
      <c r="O54" s="11"/>
      <c r="P54" s="11"/>
      <c r="Q54" s="11"/>
      <c r="R54" s="11"/>
      <c r="S54" s="11"/>
      <c r="T54" s="11"/>
      <c r="U54" s="11"/>
      <c r="V54" s="11"/>
      <c r="W54" s="11"/>
      <c r="X54" s="11"/>
    </row>
    <row r="55" ht="18.75" customHeight="1" hidden="1">
      <c r="A55" s="10"/>
      <c r="B55" s="11"/>
      <c r="C55" s="859"/>
      <c r="D55" s="859"/>
      <c r="E55" s="859"/>
      <c r="F55" s="859"/>
      <c r="G55" s="912"/>
      <c r="H55" s="859"/>
      <c r="I55" s="859"/>
      <c r="J55" s="859"/>
      <c r="K55" s="859"/>
      <c r="L55" s="859"/>
      <c r="M55" s="11"/>
      <c r="N55" s="11"/>
      <c r="O55" s="11"/>
      <c r="P55" s="11"/>
      <c r="Q55" s="11"/>
      <c r="R55" s="11"/>
      <c r="S55" s="11"/>
      <c r="T55" s="11"/>
      <c r="U55" s="11"/>
      <c r="V55" s="11"/>
      <c r="W55" s="11"/>
      <c r="X55" s="11"/>
    </row>
    <row r="56" ht="18.75" customHeight="1" hidden="1">
      <c r="A56" s="10"/>
      <c r="B56" s="11"/>
      <c r="C56" s="859"/>
      <c r="D56" s="859"/>
      <c r="E56" s="859"/>
      <c r="F56" s="859"/>
      <c r="G56" s="912"/>
      <c r="H56" s="859"/>
      <c r="I56" s="859"/>
      <c r="J56" s="859"/>
      <c r="K56" s="859"/>
      <c r="L56" s="859"/>
      <c r="M56" s="11"/>
      <c r="N56" s="11"/>
      <c r="O56" s="11"/>
      <c r="P56" s="11"/>
      <c r="Q56" s="11"/>
      <c r="R56" s="11"/>
      <c r="S56" s="11"/>
      <c r="T56" s="11"/>
      <c r="U56" s="11"/>
      <c r="V56" s="11"/>
      <c r="W56" s="11"/>
      <c r="X56" s="11"/>
    </row>
    <row r="57" ht="18" customHeight="1" hidden="1">
      <c r="A57" s="10"/>
      <c r="B57" s="11"/>
      <c r="C57" s="859"/>
      <c r="D57" s="859"/>
      <c r="E57" s="859"/>
      <c r="F57" s="859"/>
      <c r="G57" s="912"/>
      <c r="H57" s="859"/>
      <c r="I57" s="859"/>
      <c r="J57" s="859"/>
      <c r="K57" s="859"/>
      <c r="L57" s="859"/>
      <c r="M57" s="11"/>
      <c r="N57" s="11"/>
      <c r="O57" s="11"/>
      <c r="P57" s="11"/>
      <c r="Q57" s="11"/>
      <c r="R57" s="11"/>
      <c r="S57" s="11"/>
      <c r="T57" s="11"/>
      <c r="U57" s="11"/>
      <c r="V57" s="11"/>
      <c r="W57" s="11"/>
      <c r="X57" s="11"/>
    </row>
    <row r="58" ht="18.75" customHeight="1" hidden="1">
      <c r="A58" s="10"/>
      <c r="B58" s="11"/>
      <c r="C58" s="859"/>
      <c r="D58" s="859"/>
      <c r="E58" s="859"/>
      <c r="F58" s="859"/>
      <c r="G58" s="912"/>
      <c r="H58" s="859"/>
      <c r="I58" s="859"/>
      <c r="J58" s="859"/>
      <c r="K58" s="859"/>
      <c r="L58" s="859"/>
      <c r="M58" s="11"/>
      <c r="N58" s="11"/>
      <c r="O58" s="11"/>
      <c r="P58" s="11"/>
      <c r="Q58" s="11"/>
      <c r="R58" s="11"/>
      <c r="S58" s="11"/>
      <c r="T58" s="11"/>
      <c r="U58" s="11"/>
      <c r="V58" s="11"/>
      <c r="W58" s="11"/>
      <c r="X58" s="11"/>
    </row>
    <row r="59" ht="18.75" customHeight="1" hidden="1">
      <c r="A59" s="10"/>
      <c r="B59" s="11"/>
      <c r="C59" s="859"/>
      <c r="D59" s="859"/>
      <c r="E59" s="859"/>
      <c r="F59" s="859"/>
      <c r="G59" s="912"/>
      <c r="H59" s="859"/>
      <c r="I59" s="859"/>
      <c r="J59" s="859"/>
      <c r="K59" s="859"/>
      <c r="L59" s="859"/>
      <c r="M59" s="11"/>
      <c r="N59" s="11"/>
      <c r="O59" s="11"/>
      <c r="P59" s="11"/>
      <c r="Q59" s="11"/>
      <c r="R59" s="11"/>
      <c r="S59" s="11"/>
      <c r="T59" s="11"/>
      <c r="U59" s="11"/>
      <c r="V59" s="11"/>
      <c r="W59" s="11"/>
      <c r="X59" s="11"/>
    </row>
    <row r="60" ht="18.75" customHeight="1" hidden="1">
      <c r="A60" s="10"/>
      <c r="B60" s="11"/>
      <c r="C60" s="859"/>
      <c r="D60" s="859"/>
      <c r="E60" s="859"/>
      <c r="F60" s="859"/>
      <c r="G60" s="912"/>
      <c r="H60" s="859"/>
      <c r="I60" s="859"/>
      <c r="J60" s="859"/>
      <c r="K60" s="859"/>
      <c r="L60" s="859"/>
      <c r="M60" s="11"/>
      <c r="N60" s="11"/>
      <c r="O60" s="11"/>
      <c r="P60" s="11"/>
      <c r="Q60" s="11"/>
      <c r="R60" s="11"/>
      <c r="S60" s="11"/>
      <c r="T60" s="11"/>
      <c r="U60" s="11"/>
      <c r="V60" s="11"/>
      <c r="W60" s="11"/>
      <c r="X60" s="11"/>
    </row>
    <row r="61" ht="18.75" customHeight="1" hidden="1">
      <c r="A61" s="10"/>
      <c r="B61" s="11"/>
      <c r="C61" s="859"/>
      <c r="D61" s="859"/>
      <c r="E61" s="859"/>
      <c r="F61" s="859"/>
      <c r="G61" s="912"/>
      <c r="H61" s="859"/>
      <c r="I61" s="859"/>
      <c r="J61" s="859"/>
      <c r="K61" s="859"/>
      <c r="L61" s="859"/>
      <c r="M61" s="11"/>
      <c r="N61" s="11"/>
      <c r="O61" s="11"/>
      <c r="P61" s="11"/>
      <c r="Q61" s="11"/>
      <c r="R61" s="11"/>
      <c r="S61" s="11"/>
      <c r="T61" s="11"/>
      <c r="U61" s="11"/>
      <c r="V61" s="11"/>
      <c r="W61" s="11"/>
      <c r="X61" s="11"/>
    </row>
    <row r="62" ht="15.75" customHeight="1" hidden="1">
      <c r="A62" s="10"/>
      <c r="B62" s="11"/>
      <c r="C62" s="859"/>
      <c r="D62" s="859"/>
      <c r="E62" s="859"/>
      <c r="F62" s="859"/>
      <c r="G62" s="912"/>
      <c r="H62" s="859"/>
      <c r="I62" s="859"/>
      <c r="J62" s="859"/>
      <c r="K62" s="859"/>
      <c r="L62" s="859"/>
      <c r="M62" s="11"/>
      <c r="N62" s="11"/>
      <c r="O62" s="11"/>
      <c r="P62" s="11"/>
      <c r="Q62" s="11"/>
      <c r="R62" s="11"/>
      <c r="S62" s="11"/>
      <c r="T62" s="11"/>
      <c r="U62" s="11"/>
      <c r="V62" s="11"/>
      <c r="W62" s="11"/>
      <c r="X62" s="11"/>
    </row>
    <row r="63" ht="18" customHeight="1" hidden="1">
      <c r="A63" s="10"/>
      <c r="B63" s="11"/>
      <c r="C63" s="859"/>
      <c r="D63" s="859"/>
      <c r="E63" s="859"/>
      <c r="F63" s="859"/>
      <c r="G63" s="912"/>
      <c r="H63" s="859"/>
      <c r="I63" s="859"/>
      <c r="J63" s="859"/>
      <c r="K63" s="859"/>
      <c r="L63" s="859"/>
      <c r="M63" s="11"/>
      <c r="N63" s="11"/>
      <c r="O63" s="11"/>
      <c r="P63" s="11"/>
      <c r="Q63" s="11"/>
      <c r="R63" s="11"/>
      <c r="S63" s="11"/>
      <c r="T63" s="11"/>
      <c r="U63" s="11"/>
      <c r="V63" s="11"/>
      <c r="W63" s="11"/>
      <c r="X63" s="11"/>
    </row>
    <row r="64" ht="14.45" customHeight="1" hidden="1">
      <c r="A64" s="10"/>
      <c r="B64" s="11"/>
      <c r="C64" s="859"/>
      <c r="D64" s="859"/>
      <c r="E64" s="859"/>
      <c r="F64" s="11"/>
      <c r="G64" s="927"/>
      <c r="H64" s="927"/>
      <c r="I64" s="927"/>
      <c r="J64" s="927"/>
      <c r="K64" s="11"/>
      <c r="L64" s="11"/>
      <c r="M64" s="11"/>
      <c r="N64" s="11"/>
      <c r="O64" s="11"/>
      <c r="P64" s="11"/>
      <c r="Q64" s="11"/>
      <c r="R64" s="11"/>
      <c r="S64" s="11"/>
      <c r="T64" s="11"/>
      <c r="U64" s="11"/>
      <c r="V64" s="11"/>
      <c r="W64" s="11"/>
      <c r="X64" s="11"/>
    </row>
    <row r="65" ht="14.45" customHeight="1">
      <c r="A65" s="10"/>
      <c r="B65" t="s" s="928">
        <v>364</v>
      </c>
      <c r="C65" s="929">
        <v>26000</v>
      </c>
      <c r="D65" s="859"/>
      <c r="E65" s="859"/>
      <c r="F65" s="11"/>
      <c r="G65" s="927"/>
      <c r="H65" s="927"/>
      <c r="I65" s="927"/>
      <c r="J65" s="927"/>
      <c r="K65" s="11"/>
      <c r="L65" s="11"/>
      <c r="M65" s="11"/>
      <c r="N65" s="11"/>
      <c r="O65" s="11"/>
      <c r="P65" s="11"/>
      <c r="Q65" s="11"/>
      <c r="R65" s="11"/>
      <c r="S65" s="11"/>
      <c r="T65" s="11"/>
      <c r="U65" s="11"/>
      <c r="V65" s="11"/>
      <c r="W65" s="11"/>
      <c r="X65" s="11"/>
    </row>
    <row r="66" ht="14.45" customHeight="1">
      <c r="A66" s="10"/>
      <c r="B66" s="930"/>
      <c r="C66" s="931"/>
      <c r="D66" s="11"/>
      <c r="E66" s="11"/>
      <c r="F66" s="11"/>
      <c r="G66" s="927"/>
      <c r="H66" s="927"/>
      <c r="I66" s="927"/>
      <c r="J66" s="927"/>
      <c r="K66" s="11"/>
      <c r="L66" s="11"/>
      <c r="M66" s="11"/>
      <c r="N66" s="11"/>
      <c r="O66" s="11"/>
      <c r="P66" s="11"/>
      <c r="Q66" s="11"/>
      <c r="R66" s="11"/>
      <c r="S66" s="11"/>
      <c r="T66" s="11"/>
      <c r="U66" s="11"/>
      <c r="V66" s="11"/>
      <c r="W66" s="11"/>
      <c r="X66" s="11"/>
    </row>
    <row r="67" ht="14.45" customHeight="1">
      <c r="A67" s="10"/>
      <c r="B67" s="932"/>
      <c r="C67" s="11"/>
      <c r="D67" s="11"/>
      <c r="E67" s="11"/>
      <c r="F67" s="11"/>
      <c r="G67" s="927"/>
      <c r="H67" s="927"/>
      <c r="I67" s="927"/>
      <c r="J67" s="927"/>
      <c r="K67" s="11"/>
      <c r="L67" s="11"/>
      <c r="M67" s="11"/>
      <c r="N67" s="11"/>
      <c r="O67" s="11"/>
      <c r="P67" s="11"/>
      <c r="Q67" s="11"/>
      <c r="R67" s="11"/>
      <c r="S67" s="11"/>
      <c r="T67" s="11"/>
      <c r="U67" s="11"/>
      <c r="V67" s="11"/>
      <c r="W67" s="11"/>
      <c r="X67" s="11"/>
    </row>
    <row r="68" ht="14.45" customHeight="1">
      <c r="A68" s="10"/>
      <c r="B68" s="932"/>
      <c r="C68" s="11"/>
      <c r="D68" s="11"/>
      <c r="E68" s="11"/>
      <c r="F68" s="11"/>
      <c r="G68" s="927"/>
      <c r="H68" s="927"/>
      <c r="I68" s="927"/>
      <c r="J68" s="927"/>
      <c r="K68" s="11"/>
      <c r="L68" s="11"/>
      <c r="M68" s="11"/>
      <c r="N68" s="11"/>
      <c r="O68" s="11"/>
      <c r="P68" s="11"/>
      <c r="Q68" s="11"/>
      <c r="R68" s="11"/>
      <c r="S68" s="11"/>
      <c r="T68" s="11"/>
      <c r="U68" s="11"/>
      <c r="V68" s="11"/>
      <c r="W68" s="11"/>
      <c r="X68" s="11"/>
    </row>
    <row r="69" ht="14.45" customHeight="1" hidden="1">
      <c r="A69" s="10"/>
      <c r="B69" s="11"/>
      <c r="C69" s="11"/>
      <c r="D69" s="11"/>
      <c r="E69" s="11"/>
      <c r="F69" s="11"/>
      <c r="G69" s="927"/>
      <c r="H69" s="927"/>
      <c r="I69" s="927"/>
      <c r="J69" s="927"/>
      <c r="K69" s="11"/>
      <c r="L69" s="11"/>
      <c r="M69" s="11"/>
      <c r="N69" s="11"/>
      <c r="O69" s="11"/>
      <c r="P69" s="11"/>
      <c r="Q69" s="11"/>
      <c r="R69" s="11"/>
      <c r="S69" s="11"/>
      <c r="T69" s="11"/>
      <c r="U69" s="11"/>
      <c r="V69" s="11"/>
      <c r="W69" s="11"/>
      <c r="X69" s="11"/>
    </row>
    <row r="70" ht="14.45" customHeight="1" hidden="1">
      <c r="A70" s="10"/>
      <c r="B70" s="11"/>
      <c r="C70" s="11"/>
      <c r="D70" s="11"/>
      <c r="E70" s="11"/>
      <c r="F70" s="11"/>
      <c r="G70" s="927"/>
      <c r="H70" s="927"/>
      <c r="I70" s="927"/>
      <c r="J70" s="927"/>
      <c r="K70" s="11"/>
      <c r="L70" s="11"/>
      <c r="M70" s="11"/>
      <c r="N70" s="11"/>
      <c r="O70" s="11"/>
      <c r="P70" s="11"/>
      <c r="Q70" s="11"/>
      <c r="R70" s="11"/>
      <c r="S70" s="11"/>
      <c r="T70" s="11"/>
      <c r="U70" s="11"/>
      <c r="V70" s="11"/>
      <c r="W70" s="11"/>
      <c r="X70" s="11"/>
    </row>
    <row r="71" ht="14.45" customHeight="1" hidden="1">
      <c r="A71" s="115"/>
      <c r="B71" s="115"/>
      <c r="C71" s="115"/>
      <c r="D71" s="115"/>
      <c r="E71" s="115"/>
      <c r="F71" s="933"/>
      <c r="G71" s="115"/>
      <c r="H71" s="115"/>
      <c r="I71" s="115"/>
      <c r="J71" s="115"/>
      <c r="K71" s="115"/>
      <c r="L71" s="115"/>
      <c r="M71" s="115"/>
      <c r="N71" s="115"/>
      <c r="O71" s="115"/>
      <c r="P71" s="115"/>
      <c r="Q71" s="115"/>
      <c r="R71" s="115"/>
      <c r="S71" s="115"/>
      <c r="T71" s="115"/>
      <c r="U71" s="115"/>
      <c r="V71" s="115"/>
      <c r="W71" s="115"/>
      <c r="X71" s="115"/>
    </row>
    <row r="72" ht="14.45" customHeight="1" hidden="1">
      <c r="A72" s="115"/>
      <c r="B72" s="115"/>
      <c r="C72" s="115"/>
      <c r="D72" s="115"/>
      <c r="E72" s="115"/>
      <c r="F72" s="933"/>
      <c r="G72" s="115"/>
      <c r="H72" s="115"/>
      <c r="I72" s="115"/>
      <c r="J72" s="115"/>
      <c r="K72" s="115"/>
      <c r="L72" s="115"/>
      <c r="M72" s="115"/>
      <c r="N72" s="115"/>
      <c r="O72" s="115"/>
      <c r="P72" s="115"/>
      <c r="Q72" s="115"/>
      <c r="R72" s="115"/>
      <c r="S72" s="115"/>
      <c r="T72" s="115"/>
      <c r="U72" s="115"/>
      <c r="V72" s="115"/>
      <c r="W72" s="115"/>
      <c r="X72" s="115"/>
    </row>
    <row r="73" ht="14.45" customHeight="1" hidden="1">
      <c r="A73" s="115"/>
      <c r="B73" s="115"/>
      <c r="C73" s="115"/>
      <c r="D73" s="115"/>
      <c r="E73" s="115"/>
      <c r="F73" s="933"/>
      <c r="G73" s="115"/>
      <c r="H73" s="115"/>
      <c r="I73" s="115"/>
      <c r="J73" s="115"/>
      <c r="K73" s="115"/>
      <c r="L73" s="115"/>
      <c r="M73" s="115"/>
      <c r="N73" s="115"/>
      <c r="O73" s="115"/>
      <c r="P73" s="115"/>
      <c r="Q73" s="115"/>
      <c r="R73" s="115"/>
      <c r="S73" s="115"/>
      <c r="T73" s="115"/>
      <c r="U73" s="115"/>
      <c r="V73" s="115"/>
      <c r="W73" s="115"/>
      <c r="X73" s="115"/>
    </row>
    <row r="74" ht="14.45" customHeight="1" hidden="1">
      <c r="A74" s="115"/>
      <c r="B74" s="115"/>
      <c r="C74" s="115"/>
      <c r="D74" s="115"/>
      <c r="E74" s="115"/>
      <c r="F74" s="933"/>
      <c r="G74" s="115"/>
      <c r="H74" s="115"/>
      <c r="I74" s="115"/>
      <c r="J74" s="115"/>
      <c r="K74" s="115"/>
      <c r="L74" s="115"/>
      <c r="M74" s="115"/>
      <c r="N74" s="115"/>
      <c r="O74" s="115"/>
      <c r="P74" s="115"/>
      <c r="Q74" s="115"/>
      <c r="R74" s="115"/>
      <c r="S74" s="115"/>
      <c r="T74" s="115"/>
      <c r="U74" s="115"/>
      <c r="V74" s="115"/>
      <c r="W74" s="115"/>
      <c r="X74" s="115"/>
    </row>
    <row r="75" ht="13.55" customHeight="1">
      <c r="A75" s="72"/>
      <c r="B75" s="72"/>
      <c r="C75" s="72"/>
      <c r="D75" s="72"/>
      <c r="E75" s="72"/>
      <c r="F75" s="934"/>
      <c r="G75" s="72"/>
      <c r="H75" s="72"/>
      <c r="I75" s="72"/>
      <c r="J75" s="72"/>
      <c r="K75" s="72"/>
      <c r="L75" s="72"/>
      <c r="M75" s="72"/>
      <c r="N75" s="72"/>
      <c r="O75" s="72"/>
      <c r="P75" s="72"/>
      <c r="Q75" s="72"/>
      <c r="R75" s="72"/>
      <c r="S75" s="72"/>
      <c r="T75" s="72"/>
      <c r="U75" s="72"/>
      <c r="V75" s="72"/>
      <c r="W75" s="72"/>
      <c r="X75" s="72"/>
    </row>
  </sheetData>
  <mergeCells count="24">
    <mergeCell ref="B2:C2"/>
    <mergeCell ref="D2:E2"/>
    <mergeCell ref="B3:C3"/>
    <mergeCell ref="D3:E3"/>
    <mergeCell ref="H3:O3"/>
    <mergeCell ref="B5:C5"/>
    <mergeCell ref="D5:E5"/>
    <mergeCell ref="B7:C7"/>
    <mergeCell ref="D7:E7"/>
    <mergeCell ref="B9:C9"/>
    <mergeCell ref="D9:E9"/>
    <mergeCell ref="D10:E10"/>
    <mergeCell ref="B11:B13"/>
    <mergeCell ref="B15:B17"/>
    <mergeCell ref="B19:B21"/>
    <mergeCell ref="B23:B25"/>
    <mergeCell ref="B65:B66"/>
    <mergeCell ref="B67:B68"/>
    <mergeCell ref="B27:C27"/>
    <mergeCell ref="D27:E27"/>
    <mergeCell ref="B28:C28"/>
    <mergeCell ref="D28:E28"/>
    <mergeCell ref="B29:C29"/>
    <mergeCell ref="D29:E29"/>
  </mergeCells>
  <conditionalFormatting sqref="D5">
    <cfRule type="cellIs" dxfId="175" priority="1" operator="equal" stopIfTrue="1">
      <formula>"BNG Targets Not Met ▲"</formula>
    </cfRule>
    <cfRule type="cellIs" dxfId="176" priority="2" operator="equal" stopIfTrue="1">
      <formula>"BNG Targets Met ✓"</formula>
    </cfRule>
  </conditionalFormatting>
  <conditionalFormatting sqref="D7 G7:H7">
    <cfRule type="cellIs" dxfId="177" priority="1" operator="equal" stopIfTrue="1">
      <formula>"Trading Rules Not Satisfied ▲"</formula>
    </cfRule>
    <cfRule type="cellIs" dxfId="178" priority="2" operator="equal" stopIfTrue="1">
      <formula>"Trading Rules Satisfied ✓"</formula>
    </cfRule>
  </conditionalFormatting>
  <conditionalFormatting sqref="D9">
    <cfRule type="containsText" dxfId="179" priority="1" stopIfTrue="1" text="⚠">
      <formula>NOT(ISERROR(FIND(UPPER("⚠"),UPPER(D9))))</formula>
      <formula>"⚠"</formula>
    </cfRule>
    <cfRule type="cellIs" dxfId="180" priority="2" operator="equal" stopIfTrue="1">
      <formula>"BNG Tragets Not Met ▲"</formula>
    </cfRule>
    <cfRule type="cellIs" dxfId="181" priority="3" operator="equal" stopIfTrue="1">
      <formula>"BNG Targets Met ✓"</formula>
    </cfRule>
  </conditionalFormatting>
  <conditionalFormatting sqref="E9">
    <cfRule type="containsText" dxfId="182" priority="1" stopIfTrue="1" text="⚠">
      <formula>NOT(ISERROR(FIND(UPPER("⚠"),UPPER(E9))))</formula>
      <formula>"⚠"</formula>
    </cfRule>
  </conditionalFormatting>
  <conditionalFormatting sqref="D19">
    <cfRule type="cellIs" dxfId="183" priority="1" operator="greaterThanOrEqual" stopIfTrue="1">
      <formula>$F$11</formula>
    </cfRule>
    <cfRule type="cellIs" dxfId="184" priority="2" operator="between" stopIfTrue="1">
      <formula>0</formula>
      <formula>$F$11</formula>
    </cfRule>
    <cfRule type="cellIs" dxfId="185" priority="3" operator="equal" stopIfTrue="1">
      <formula>"Error ▲"</formula>
    </cfRule>
    <cfRule type="cellIs" dxfId="186" priority="4" operator="lessThan" stopIfTrue="1">
      <formula>0</formula>
    </cfRule>
    <cfRule type="cellIs" dxfId="187" priority="5" operator="equal" stopIfTrue="1">
      <formula>0</formula>
    </cfRule>
  </conditionalFormatting>
  <conditionalFormatting sqref="E19:E21">
    <cfRule type="containsText" dxfId="188" priority="1" stopIfTrue="1" text="⚠">
      <formula>NOT(ISERROR(FIND(UPPER("⚠"),UPPER(E19))))</formula>
      <formula>"⚠"</formula>
    </cfRule>
    <cfRule type="cellIs" dxfId="189" priority="2" operator="equal" stopIfTrue="1">
      <formula>"Error ▲"</formula>
    </cfRule>
    <cfRule type="containsText" dxfId="190" priority="3" stopIfTrue="1" text="✓">
      <formula>NOT(ISERROR(FIND(UPPER("✓"),UPPER(E19))))</formula>
      <formula>"✓"</formula>
    </cfRule>
    <cfRule type="containsText" dxfId="191" priority="4" stopIfTrue="1" text="▲">
      <formula>NOT(ISERROR(FIND(UPPER("▲"),UPPER(E19))))</formula>
      <formula>"▲"</formula>
    </cfRule>
    <cfRule type="cellIs" dxfId="192" priority="5" operator="lessThan" stopIfTrue="1">
      <formula>0</formula>
    </cfRule>
    <cfRule type="cellIs" dxfId="193" priority="6" operator="equal" stopIfTrue="1">
      <formula>0</formula>
    </cfRule>
  </conditionalFormatting>
  <conditionalFormatting sqref="D20">
    <cfRule type="cellIs" dxfId="194" priority="1" operator="greaterThanOrEqual" stopIfTrue="1">
      <formula>$F$12</formula>
    </cfRule>
    <cfRule type="cellIs" dxfId="195" priority="2" operator="between" stopIfTrue="1">
      <formula>0</formula>
      <formula>$F$12</formula>
    </cfRule>
    <cfRule type="cellIs" dxfId="196" priority="3" operator="equal" stopIfTrue="1">
      <formula>"Error ▲"</formula>
    </cfRule>
    <cfRule type="cellIs" dxfId="197" priority="4" operator="lessThan" stopIfTrue="1">
      <formula>0</formula>
    </cfRule>
    <cfRule type="cellIs" dxfId="198" priority="5" operator="equal" stopIfTrue="1">
      <formula>0</formula>
    </cfRule>
  </conditionalFormatting>
  <conditionalFormatting sqref="D21">
    <cfRule type="cellIs" dxfId="199" priority="1" operator="greaterThanOrEqual" stopIfTrue="1">
      <formula>$F$13</formula>
    </cfRule>
    <cfRule type="cellIs" dxfId="200" priority="2" operator="between" stopIfTrue="1">
      <formula>0</formula>
      <formula>$F$13</formula>
    </cfRule>
    <cfRule type="cellIs" dxfId="201" priority="3" operator="equal" stopIfTrue="1">
      <formula>"Error ▲"</formula>
    </cfRule>
    <cfRule type="cellIs" dxfId="202" priority="4" operator="lessThan" stopIfTrue="1">
      <formula>0</formula>
    </cfRule>
    <cfRule type="cellIs" dxfId="203" priority="5" operator="equal" stopIfTrue="1">
      <formula>0</formula>
    </cfRule>
  </conditionalFormatting>
  <conditionalFormatting sqref="E22">
    <cfRule type="containsText" dxfId="204" priority="1" stopIfTrue="1" text="⚠">
      <formula>NOT(ISERROR(FIND(UPPER("⚠"),UPPER(E22))))</formula>
      <formula>"⚠"</formula>
    </cfRule>
    <cfRule type="containsText" dxfId="205" priority="2" stopIfTrue="1" text="✓">
      <formula>NOT(ISERROR(FIND(UPPER("✓"),UPPER(E22))))</formula>
      <formula>"✓"</formula>
    </cfRule>
    <cfRule type="containsText" dxfId="206" priority="3" stopIfTrue="1" text="▲">
      <formula>NOT(ISERROR(FIND(UPPER("▲"),UPPER(E22))))</formula>
      <formula>"▲"</formula>
    </cfRule>
  </conditionalFormatting>
  <conditionalFormatting sqref="D23">
    <cfRule type="cellIs" dxfId="207" priority="1" operator="between" stopIfTrue="1">
      <formula>$F$19</formula>
      <formula>0</formula>
    </cfRule>
    <cfRule type="cellIs" dxfId="208" priority="2" operator="greaterThanOrEqual" stopIfTrue="1">
      <formula>$F$19</formula>
    </cfRule>
    <cfRule type="cellIs" dxfId="209" priority="3" operator="equal" stopIfTrue="1">
      <formula>"% target not appropriate"</formula>
    </cfRule>
    <cfRule type="cellIs" dxfId="210" priority="4" operator="lessThan" stopIfTrue="1">
      <formula>0</formula>
    </cfRule>
  </conditionalFormatting>
  <conditionalFormatting sqref="E23:E25">
    <cfRule type="containsText" dxfId="211" priority="1" stopIfTrue="1" text="⚠">
      <formula>NOT(ISERROR(FIND(UPPER("⚠"),UPPER(E23))))</formula>
      <formula>"⚠"</formula>
    </cfRule>
    <cfRule type="containsText" dxfId="212" priority="2" stopIfTrue="1" text="✓">
      <formula>NOT(ISERROR(FIND(UPPER("✓"),UPPER(E23))))</formula>
      <formula>"✓"</formula>
    </cfRule>
    <cfRule type="containsText" dxfId="213" priority="3" stopIfTrue="1" text="▲">
      <formula>NOT(ISERROR(FIND(UPPER("▲"),UPPER(E23))))</formula>
      <formula>"▲"</formula>
    </cfRule>
    <cfRule type="containsBlanks" dxfId="214" priority="4" stopIfTrue="1">
      <formula>ISBLANK(E23)</formula>
    </cfRule>
  </conditionalFormatting>
  <conditionalFormatting sqref="D24">
    <cfRule type="cellIs" dxfId="215" priority="1" operator="between" stopIfTrue="1">
      <formula>$F$20</formula>
      <formula>0</formula>
    </cfRule>
    <cfRule type="cellIs" dxfId="216" priority="2" operator="greaterThanOrEqual" stopIfTrue="1">
      <formula>$F$20</formula>
    </cfRule>
    <cfRule type="cellIs" dxfId="217" priority="3" operator="equal" stopIfTrue="1">
      <formula>"% target not appropriate"</formula>
    </cfRule>
    <cfRule type="cellIs" dxfId="218" priority="4" operator="lessThan" stopIfTrue="1">
      <formula>0</formula>
    </cfRule>
  </conditionalFormatting>
  <conditionalFormatting sqref="D25">
    <cfRule type="cellIs" dxfId="219" priority="1" operator="between" stopIfTrue="1">
      <formula>$F$21</formula>
      <formula>0</formula>
    </cfRule>
    <cfRule type="cellIs" dxfId="220" priority="2" operator="greaterThanOrEqual" stopIfTrue="1">
      <formula>$F$21</formula>
    </cfRule>
    <cfRule type="cellIs" dxfId="221" priority="3" operator="equal" stopIfTrue="1">
      <formula>"% target not appropriate"</formula>
    </cfRule>
    <cfRule type="cellIs" dxfId="222" priority="4" operator="lessThan" stopIfTrue="1">
      <formula>0</formula>
    </cfRule>
  </conditionalFormatting>
  <conditionalFormatting sqref="C36:D38">
    <cfRule type="cellIs" dxfId="223" priority="1" operator="equal" stopIfTrue="1">
      <formula>"Error - Enter required % on start page"</formula>
    </cfRule>
    <cfRule type="cellIs" dxfId="224" priority="2" operator="equal" stopIfTrue="1">
      <formula>"Error"</formula>
    </cfRule>
    <cfRule type="cellIs" dxfId="225" priority="3" operator="lessThan" stopIfTrue="1">
      <formula>0</formula>
    </cfRule>
  </conditionalFormatting>
  <pageMargins left="0.7" right="0.7" top="0.75" bottom="0.75" header="0.3" footer="0.3"/>
  <pageSetup firstPageNumber="1" fitToHeight="1" fitToWidth="1" scale="100" useFirstPageNumber="0" orientation="portrait" pageOrder="downThenOver"/>
  <headerFooter>
    <oddFooter>&amp;C&amp;"Helvetica Neue,Regular"&amp;12&amp;K000000&amp;P</oddFooter>
  </headerFooter>
  <drawing r:id="rId1"/>
</worksheet>
</file>

<file path=docProps/app.xml><?xml version="1.0" encoding="utf-8"?>
<Properties xmlns="http://schemas.openxmlformats.org/officeDocument/2006/extended-properties" xmlns:vt="http://schemas.openxmlformats.org/officeDocument/2006/docPropsVTypes"/>
</file>

<file path=docProps/core.xml><?xml version="1.0" encoding="utf-8"?>
<cp:coreProperties xmlns:cp="http://schemas.openxmlformats.org/package/2006/metadata/core-properties" xmlns:dc="http://purl.org/dc/elements/1.1/" xmlns:dcterms="http://purl.org/dc/terms/" xmlns:xsi="http://www.w3.org/2001/XMLSchema-instance"/>
</file>