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66925"/>
  <xr:revisionPtr revIDLastSave="0" documentId="13_ncr:1_{14110F94-EBA2-441C-B52E-6DD06A35538D}" xr6:coauthVersionLast="47" xr6:coauthVersionMax="47" xr10:uidLastSave="{00000000-0000-0000-0000-000000000000}"/>
  <bookViews>
    <workbookView xWindow="28680" yWindow="2595" windowWidth="24240" windowHeight="13140" firstSheet="1" activeTab="2"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6" l="1"/>
  <c r="D10" i="6"/>
  <c r="D11" i="6"/>
  <c r="D8" i="6"/>
  <c r="D6" i="8"/>
  <c r="C6" i="8"/>
  <c r="D13" i="8"/>
  <c r="C13" i="8"/>
  <c r="B72" i="6"/>
  <c r="Q3" i="2"/>
  <c r="U61" i="2"/>
  <c r="S61" i="2"/>
  <c r="P61" i="2"/>
  <c r="U4" i="2"/>
  <c r="S4" i="2"/>
  <c r="P4" i="2"/>
  <c r="L8" i="2" l="1"/>
  <c r="M8" i="2"/>
  <c r="N8" i="2"/>
  <c r="O8" i="2"/>
  <c r="P8" i="2" s="1"/>
  <c r="Q8" i="2"/>
  <c r="R8" i="2"/>
  <c r="U8" i="2" s="1"/>
  <c r="S8" i="2"/>
  <c r="T8" i="2"/>
  <c r="L9" i="2"/>
  <c r="M9" i="2"/>
  <c r="N9" i="2"/>
  <c r="O9" i="2" s="1"/>
  <c r="Q9" i="2"/>
  <c r="R9" i="2" s="1"/>
  <c r="U9" i="2" s="1"/>
  <c r="T9" i="2"/>
  <c r="L10" i="2"/>
  <c r="M10" i="2"/>
  <c r="N10" i="2"/>
  <c r="O10" i="2" s="1"/>
  <c r="S10" i="2" s="1"/>
  <c r="Q10" i="2"/>
  <c r="R10" i="2" s="1"/>
  <c r="T10" i="2"/>
  <c r="L11" i="2"/>
  <c r="M11" i="2"/>
  <c r="N11" i="2"/>
  <c r="O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U10" i="2" l="1"/>
  <c r="R11" i="2"/>
  <c r="U11" i="2" s="1"/>
  <c r="S11" i="2"/>
  <c r="P10" i="2"/>
  <c r="S15" i="2"/>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T96" i="2" l="1"/>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<sst xmlns="http://schemas.openxmlformats.org/spreadsheetml/2006/main" count="415" uniqueCount="269">
  <si>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</si>
  <si>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</si>
  <si>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</si>
  <si>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</si>
  <si>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</si>
  <si>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</si>
  <si>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</si>
  <si>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</si>
  <si>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</si>
  <si>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</si>
  <si>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</si>
  <si>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</si>
  <si>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</si>
  <si>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</si>
  <si>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</si>
  <si>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</si>
  <si>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</si>
  <si>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</si>
  <si>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</si>
  <si>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</si>
  <si>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</si>
  <si>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</si>
  <si>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</si>
  <si>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</si>
  <si>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</si>
  <si>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</si>
  <si>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</si>
  <si>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</si>
  <si>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</si>
  <si>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</si>
  <si>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</si>
  <si>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</si>
  <si>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</si>
  <si>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</si>
  <si>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</si>
  <si>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</si>
  <si>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</si>
  <si>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</si>
  <si>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</si>
  <si>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</si>
  <si>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</si>
  <si>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</si>
  <si>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</si>
  <si>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</si>
  <si>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</si>
  <si>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</si>
  <si>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</si>
  <si>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</si>
  <si>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</si>
  <si>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</si>
  <si>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</si>
  <si>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</si>
  <si>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</si>
  <si>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</si>
  <si>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</si>
  <si>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</si>
  <si>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</si>
  <si>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</si>
  <si>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</si>
  <si>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</si>
  <si>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</si>
  <si>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</si>
  <si>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</si>
  <si>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</si>
  <si>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</si>
  <si>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</si>
  <si>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</si>
  <si>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</si>
  <si>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</si>
  <si>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</si>
  <si>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</si>
  <si>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</si>
  <si>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</si>
  <si>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</si>
  <si>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</si>
  <si>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</si>
  <si>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</si>
  <si>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</si>
  <si>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</si>
  <si>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</si>
  <si>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</si>
  <si>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</si>
  <si>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</si>
  <si>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</si>
  <si>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</si>
  <si>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</si>
  <si>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</si>
  <si>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</si>
  <si>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</si>
  <si>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</si>
  <si>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</si>
  <si>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</si>
  <si>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</si>
  <si>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</si>
  <si>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</si>
  <si>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</si>
  <si>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</si>
  <si>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</si>
  <si>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</si>
  <si>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</si>
  <si>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</si>
  <si>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</si>
  <si>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</si>
  <si>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</si>
  <si>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</si>
  <si>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</si>
  <si>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</si>
  <si>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</si>
  <si>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</si>
  <si>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</si>
  <si>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</si>
  <si>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</si>
  <si>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</si>
  <si>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</si>
  <si>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</si>
  <si>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</si>
  <si>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</si>
  <si>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</si>
  <si>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</si>
  <si>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</si>
  <si>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</si>
  <si>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</si>
  <si>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</si>
  <si>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</si>
  <si>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</si>
  <si>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</si>
  <si>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</si>
  <si>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</si>
  <si>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</si>
  <si>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</si>
  <si>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</si>
  <si>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</si>
  <si>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</si>
  <si>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</si>
  <si>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</si>
  <si>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</si>
  <si>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</si>
  <si>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</si>
  <si>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</si>
  <si>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</si>
  <si>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</si>
  <si>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</si>
  <si>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</si>
  <si>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</si>
  <si>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</si>
  <si>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</si>
  <si>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</si>
  <si>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</si>
  <si>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</si>
  <si>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</si>
  <si>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</si>
  <si>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</si>
  <si>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</si>
  <si>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</si>
  <si>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</si>
  <si>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</si>
  <si>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</si>
  <si>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</si>
  <si>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</si>
  <si>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</si>
  <si>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</si>
  <si>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</si>
  <si>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</si>
  <si>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</si>
  <si>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</si>
  <si>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</si>
  <si>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</si>
  <si>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</si>
  <si>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</si>
  <si>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</si>
  <si>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</si>
  <si>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</si>
  <si>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</si>
  <si>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</si>
  <si>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</si>
  <si>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</si>
  <si>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</si>
  <si>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</si>
  <si>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</si>
  <si>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</si>
  <si>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</si>
  <si>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</si>
  <si>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</si>
  <si>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</si>
  <si>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</si>
  <si>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</si>
  <si>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</si>
  <si>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</si>
  <si>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</si>
  <si>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</si>
  <si>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</si>
  <si>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</si>
  <si>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</si>
  <si>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</si>
  <si>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</si>
  <si>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</si>
  <si>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</si>
  <si>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</si>
  <si>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</si>
  <si>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</si>
  <si>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</si>
  <si>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</si>
  <si>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</si>
  <si>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</si>
  <si>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</si>
  <si>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</si>
  <si>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</si>
  <si>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</si>
  <si>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</si>
  <si>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</si>
  <si>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</si>
  <si>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</si>
  <si>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</si>
  <si>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</si>
  <si>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</si>
  <si>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</si>
  <si>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</si>
  <si>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</si>
  <si>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</si>
  <si>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</si>
  <si>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</si>
  <si>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</si>
  <si>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</si>
  <si>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</si>
  <si>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</si>
  <si>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</si>
  <si>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</si>
  <si>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</si>
  <si>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</si>
  <si>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</si>
  <si>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</si>
  <si>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</si>
  <si>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</si>
  <si>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</si>
  <si>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</si>
  <si>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</si>
  <si>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</si>
  <si>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</si>
  <si>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</si>
  <si>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</si>
  <si>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</si>
  <si>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</si>
  <si>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</si>
  <si>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</si>
  <si>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</si>
  <si>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</si>
  <si>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</si>
  <si>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</si>
  <si>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</si>
  <si>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</si>
  <si>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</si>
  <si>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</si>
  <si>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</si>
  <si>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</si>
  <si>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</si>
  <si>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</si>
  <si>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</si>
  <si>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</si>
  <si>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</si>
  <si>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</si>
  <si>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Unit 1</t>
  </si>
  <si>
    <t>Unit 2</t>
  </si>
  <si>
    <t>Unit 3</t>
  </si>
  <si>
    <t>Unit 4</t>
  </si>
  <si>
    <t>Unit 5</t>
  </si>
  <si>
    <t>Yes</t>
  </si>
  <si>
    <t>Part L1 - SAP 10.2</t>
  </si>
  <si>
    <t>Part L2 - SBEM</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</si>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</sst>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16.122634599999998</c:v>
                </c:pt>
                <c:pt idx="2">
                  <c:v>16.122634599999998</c:v>
                </c:pt>
                <c:pt idx="3">
                  <c:v>4.7293994000000001</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11.393235199999998</c:v>
                </c:pt>
                <c:pt idx="4">
                  <c:v>4.7293994000000001</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8.4671630000000011</c:v>
                </c:pt>
                <c:pt idx="1">
                  <c:v>8.4671630000000011</c:v>
                </c:pt>
                <c:pt idx="2">
                  <c:v>8.4671630000000011</c:v>
                </c:pt>
                <c:pt idx="3">
                  <c:v>8.4671630000000011</c:v>
                </c:pt>
                <c:pt idx="4">
                  <c:v>8.4671630000000011</c:v>
                </c:pt>
                <c:pt idx="5">
                  <c:v>8.4671630000000011</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5.5036559500000006</c:v>
                </c:pt>
                <c:pt idx="1">
                  <c:v>5.5036559500000006</c:v>
                </c:pt>
                <c:pt idx="2">
                  <c:v>5.5036559500000006</c:v>
                </c:pt>
                <c:pt idx="3">
                  <c:v>5.5036559500000006</c:v>
                </c:pt>
                <c:pt idx="4">
                  <c:v>5.5036559500000006</c:v>
                </c:pt>
                <c:pt idx="5">
                  <c:v>5.5036559500000006</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11.494379694672004</c:v>
                </c:pt>
                <c:pt idx="2">
                  <c:v>11.494379694672004</c:v>
                </c:pt>
                <c:pt idx="3">
                  <c:v>10.507517999999999</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0.45974430532799815</c:v>
                </c:pt>
                <c:pt idx="2">
                  <c:v>0</c:v>
                </c:pt>
                <c:pt idx="3">
                  <c:v>0.98686169467200457</c:v>
                </c:pt>
                <c:pt idx="4">
                  <c:v>10.507517999999999</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11.954124000000002</c:v>
                </c:pt>
                <c:pt idx="1">
                  <c:v>11.954124000000002</c:v>
                </c:pt>
                <c:pt idx="2">
                  <c:v>11.954124000000002</c:v>
                </c:pt>
                <c:pt idx="3">
                  <c:v>11.954124000000002</c:v>
                </c:pt>
                <c:pt idx="4">
                  <c:v>11.954124000000002</c:v>
                </c:pt>
                <c:pt idx="5">
                  <c:v>11.954124000000002</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7.7701806000000015</c:v>
                </c:pt>
                <c:pt idx="1">
                  <c:v>7.7701806000000015</c:v>
                </c:pt>
                <c:pt idx="2">
                  <c:v>7.7701806000000015</c:v>
                </c:pt>
                <c:pt idx="3">
                  <c:v>7.7701806000000015</c:v>
                </c:pt>
                <c:pt idx="4">
                  <c:v>7.7701806000000015</c:v>
                </c:pt>
                <c:pt idx="5">
                  <c:v>7.7701806000000015</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topLeftCell="A11"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65" customHeight="1">
      <c r="A4" s="228" t="s">
        <v>246</v>
      </c>
      <c r="B4" s="228"/>
      <c r="C4" s="228"/>
      <c r="D4" s="228"/>
      <c r="E4" s="228"/>
      <c r="F4" s="228"/>
      <c r="G4" s="228"/>
      <c r="H4" s="228"/>
      <c r="I4" s="228"/>
      <c r="J4" s="228"/>
      <c r="K4" s="228"/>
      <c r="L4" s="228"/>
    </row>
    <row r="5" spans="1:16384" ht="41.65" customHeight="1">
      <c r="A5" s="228" t="s">
        <v>247</v>
      </c>
      <c r="B5" s="228"/>
      <c r="C5" s="228"/>
      <c r="D5" s="228"/>
      <c r="E5" s="228"/>
      <c r="F5" s="228"/>
      <c r="G5" s="228"/>
      <c r="H5" s="228"/>
      <c r="I5" s="228"/>
      <c r="J5" s="228"/>
      <c r="K5" s="228"/>
      <c r="L5" s="228"/>
    </row>
    <row r="6" spans="1:16384" ht="32.65"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opLeftCell="A90" zoomScaleNormal="100" workbookViewId="0">
      <selection activeCell="D14" sqref="D14"/>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55" t="s">
        <v>160</v>
      </c>
      <c r="B2" s="255"/>
      <c r="C2" s="201"/>
    </row>
    <row r="3" spans="1:6" ht="37.5" customHeight="1">
      <c r="A3" s="255" t="s">
        <v>161</v>
      </c>
      <c r="B3" s="255"/>
      <c r="C3" s="201"/>
    </row>
    <row r="4" spans="1:6" ht="37.5" customHeight="1">
      <c r="A4" s="255" t="s">
        <v>162</v>
      </c>
      <c r="B4" s="255"/>
      <c r="C4" s="201"/>
    </row>
    <row r="5" spans="1:6" ht="61.5" customHeight="1">
      <c r="A5" s="255" t="s">
        <v>163</v>
      </c>
      <c r="B5" s="255"/>
      <c r="C5" s="201"/>
      <c r="D5" s="203"/>
    </row>
    <row r="6" spans="1:6" ht="12.75" thickBot="1"/>
    <row r="7" spans="1:6" ht="24.75" thickTop="1">
      <c r="A7" s="204" t="s">
        <v>164</v>
      </c>
      <c r="B7" s="205"/>
      <c r="C7" s="205" t="s">
        <v>165</v>
      </c>
      <c r="D7" s="205" t="s">
        <v>166</v>
      </c>
      <c r="E7" s="206" t="s">
        <v>167</v>
      </c>
    </row>
    <row r="8" spans="1:6" ht="24">
      <c r="A8" s="249" t="s">
        <v>168</v>
      </c>
      <c r="B8" s="207" t="s">
        <v>0</v>
      </c>
      <c r="C8" s="207" t="s">
        <v>1</v>
      </c>
      <c r="D8" s="208"/>
      <c r="E8" s="208"/>
    </row>
    <row r="9" spans="1:6" ht="24">
      <c r="A9" s="249"/>
      <c r="B9" s="207" t="s">
        <v>2</v>
      </c>
      <c r="C9" s="207" t="s">
        <v>3</v>
      </c>
      <c r="D9" s="208"/>
      <c r="E9" s="208"/>
    </row>
    <row r="10" spans="1:6" ht="48">
      <c r="A10" s="249"/>
      <c r="B10" s="207" t="s">
        <v>4</v>
      </c>
      <c r="C10" s="207" t="s">
        <v>169</v>
      </c>
      <c r="D10" s="224"/>
      <c r="E10" s="208"/>
    </row>
    <row r="11" spans="1:6" ht="24">
      <c r="A11" s="249"/>
      <c r="B11" s="207" t="s">
        <v>170</v>
      </c>
      <c r="C11" s="207"/>
      <c r="D11" s="208"/>
      <c r="E11" s="208"/>
      <c r="F11" s="209"/>
    </row>
    <row r="12" spans="1:6" ht="25.5" customHeight="1">
      <c r="A12" s="249"/>
      <c r="B12" s="207" t="s">
        <v>171</v>
      </c>
      <c r="C12" s="207"/>
      <c r="D12" s="225"/>
      <c r="E12" s="208"/>
    </row>
    <row r="13" spans="1:6" ht="25.5" customHeight="1">
      <c r="A13" s="249"/>
      <c r="B13" s="207" t="s">
        <v>172</v>
      </c>
      <c r="C13" s="207"/>
      <c r="D13" s="224">
        <v>1121</v>
      </c>
      <c r="E13" s="208"/>
    </row>
    <row r="14" spans="1:6" ht="24">
      <c r="A14" s="246" t="s">
        <v>173</v>
      </c>
      <c r="B14" s="207" t="s">
        <v>174</v>
      </c>
      <c r="C14" s="207"/>
      <c r="D14" s="208"/>
      <c r="E14" s="208"/>
    </row>
    <row r="15" spans="1:6" ht="24">
      <c r="A15" s="247"/>
      <c r="B15" s="207" t="s">
        <v>175</v>
      </c>
      <c r="C15" s="207"/>
      <c r="D15" s="208"/>
      <c r="E15" s="208"/>
    </row>
    <row r="16" spans="1:6" ht="24">
      <c r="A16" s="247"/>
      <c r="B16" s="207" t="s">
        <v>176</v>
      </c>
      <c r="C16" s="207"/>
      <c r="D16" s="208"/>
      <c r="E16" s="208"/>
    </row>
    <row r="17" spans="1:6" ht="24">
      <c r="A17" s="247"/>
      <c r="B17" s="207" t="s">
        <v>177</v>
      </c>
      <c r="C17" s="207"/>
      <c r="D17" s="208"/>
      <c r="E17" s="208"/>
    </row>
    <row r="18" spans="1:6" ht="14.65" customHeight="1">
      <c r="A18" s="247"/>
      <c r="B18" s="207" t="s">
        <v>178</v>
      </c>
      <c r="C18" s="207"/>
      <c r="D18" s="224"/>
      <c r="E18" s="208"/>
    </row>
    <row r="19" spans="1:6" ht="14.65" customHeight="1">
      <c r="A19" s="247"/>
      <c r="B19" s="207" t="s">
        <v>179</v>
      </c>
      <c r="C19" s="207"/>
      <c r="D19" s="224"/>
      <c r="E19" s="208"/>
    </row>
    <row r="20" spans="1:6" ht="14.65" customHeight="1">
      <c r="A20" s="248"/>
      <c r="B20" s="207" t="s">
        <v>180</v>
      </c>
      <c r="C20" s="207"/>
      <c r="D20" s="208"/>
      <c r="E20" s="208"/>
    </row>
    <row r="21" spans="1:6" ht="14.65" customHeight="1">
      <c r="A21" s="246" t="s">
        <v>181</v>
      </c>
      <c r="B21" s="210" t="s">
        <v>182</v>
      </c>
      <c r="C21" s="210"/>
      <c r="D21" s="208"/>
      <c r="E21" s="208"/>
    </row>
    <row r="22" spans="1:6" ht="24">
      <c r="A22" s="247"/>
      <c r="B22" s="210" t="s">
        <v>183</v>
      </c>
      <c r="C22" s="210"/>
      <c r="D22" s="208"/>
      <c r="E22" s="208"/>
    </row>
    <row r="23" spans="1:6" ht="14.65" customHeight="1">
      <c r="A23" s="247"/>
      <c r="B23" s="210" t="s">
        <v>184</v>
      </c>
      <c r="C23" s="210"/>
      <c r="D23" s="208"/>
      <c r="E23" s="208"/>
      <c r="F23" s="211"/>
    </row>
    <row r="24" spans="1:6" ht="14.65" customHeight="1">
      <c r="A24" s="248"/>
      <c r="B24" s="210" t="s">
        <v>185</v>
      </c>
      <c r="C24" s="210"/>
      <c r="D24" s="208"/>
      <c r="E24" s="208"/>
      <c r="F24" s="211"/>
    </row>
    <row r="25" spans="1:6" ht="24">
      <c r="A25" s="246" t="s">
        <v>186</v>
      </c>
      <c r="B25" s="207" t="s">
        <v>187</v>
      </c>
      <c r="C25" s="207"/>
      <c r="D25" s="208"/>
      <c r="E25" s="208"/>
    </row>
    <row r="26" spans="1:6">
      <c r="A26" s="247"/>
      <c r="B26" s="207" t="s">
        <v>188</v>
      </c>
      <c r="C26" s="207"/>
      <c r="D26" s="208"/>
      <c r="E26" s="208"/>
    </row>
    <row r="27" spans="1:6">
      <c r="A27" s="247"/>
      <c r="B27" s="207" t="s">
        <v>189</v>
      </c>
      <c r="C27" s="207"/>
      <c r="D27" s="208"/>
      <c r="E27" s="208"/>
    </row>
    <row r="28" spans="1:6" ht="13.5">
      <c r="A28" s="247"/>
      <c r="B28" s="207" t="s">
        <v>190</v>
      </c>
      <c r="C28" s="207"/>
      <c r="D28" s="224"/>
      <c r="E28" s="208"/>
    </row>
    <row r="29" spans="1:6" ht="48">
      <c r="A29" s="248"/>
      <c r="B29" s="207" t="s">
        <v>191</v>
      </c>
      <c r="C29" s="207" t="s">
        <v>192</v>
      </c>
      <c r="D29" s="208"/>
      <c r="E29" s="208"/>
    </row>
    <row r="30" spans="1:6" ht="24">
      <c r="A30" s="246" t="s">
        <v>193</v>
      </c>
      <c r="B30" s="207" t="s">
        <v>194</v>
      </c>
      <c r="C30" s="207" t="s">
        <v>195</v>
      </c>
      <c r="D30" s="208"/>
      <c r="E30" s="208"/>
      <c r="F30" s="212"/>
    </row>
    <row r="31" spans="1:6" ht="60">
      <c r="A31" s="247"/>
      <c r="B31" s="207" t="s">
        <v>196</v>
      </c>
      <c r="C31" s="207" t="s">
        <v>257</v>
      </c>
      <c r="D31" s="208"/>
      <c r="E31" s="208"/>
    </row>
    <row r="32" spans="1:6">
      <c r="A32" s="247"/>
      <c r="B32" s="207" t="s">
        <v>197</v>
      </c>
      <c r="C32" s="207"/>
      <c r="D32" s="208"/>
      <c r="E32" s="208"/>
    </row>
    <row r="33" spans="1:5">
      <c r="A33" s="247"/>
      <c r="B33" s="213" t="s">
        <v>198</v>
      </c>
      <c r="C33" s="207"/>
      <c r="D33" s="224"/>
      <c r="E33" s="208"/>
    </row>
    <row r="34" spans="1:5">
      <c r="A34" s="247"/>
      <c r="B34" s="213" t="s">
        <v>199</v>
      </c>
      <c r="C34" s="207"/>
      <c r="D34" s="224"/>
      <c r="E34" s="208"/>
    </row>
    <row r="35" spans="1:5">
      <c r="A35" s="248"/>
      <c r="B35" s="207" t="s">
        <v>200</v>
      </c>
      <c r="C35" s="207" t="s">
        <v>201</v>
      </c>
      <c r="D35" s="224"/>
      <c r="E35" s="208"/>
    </row>
    <row r="36" spans="1:5">
      <c r="A36" s="246" t="s">
        <v>202</v>
      </c>
      <c r="B36" s="207" t="s">
        <v>203</v>
      </c>
      <c r="C36" s="207"/>
      <c r="D36" s="208"/>
      <c r="E36" s="208"/>
    </row>
    <row r="37" spans="1:5">
      <c r="A37" s="247"/>
      <c r="B37" s="207" t="s">
        <v>204</v>
      </c>
      <c r="C37" s="207"/>
      <c r="D37" s="226"/>
      <c r="E37" s="208"/>
    </row>
    <row r="38" spans="1:5">
      <c r="A38" s="247"/>
      <c r="B38" s="207" t="s">
        <v>205</v>
      </c>
      <c r="C38" s="207"/>
      <c r="D38" s="224"/>
      <c r="E38" s="208"/>
    </row>
    <row r="39" spans="1:5">
      <c r="A39" s="247"/>
      <c r="B39" s="207" t="s">
        <v>206</v>
      </c>
      <c r="C39" s="207"/>
      <c r="D39" s="224"/>
      <c r="E39" s="208"/>
    </row>
    <row r="40" spans="1:5" ht="36">
      <c r="A40" s="247"/>
      <c r="B40" s="207" t="s">
        <v>207</v>
      </c>
      <c r="C40" s="207" t="s">
        <v>208</v>
      </c>
      <c r="D40" s="208"/>
      <c r="E40" s="208"/>
    </row>
    <row r="41" spans="1:5" ht="24">
      <c r="A41" s="247"/>
      <c r="B41" s="207" t="s">
        <v>209</v>
      </c>
      <c r="C41" s="207"/>
      <c r="D41" s="224"/>
      <c r="E41" s="208"/>
    </row>
    <row r="42" spans="1:5" ht="60">
      <c r="A42" s="247"/>
      <c r="B42" s="207" t="s">
        <v>210</v>
      </c>
      <c r="C42" s="213" t="s">
        <v>211</v>
      </c>
      <c r="D42" s="208"/>
      <c r="E42" s="208"/>
    </row>
    <row r="43" spans="1:5">
      <c r="A43" s="247"/>
      <c r="B43" s="207" t="s">
        <v>212</v>
      </c>
      <c r="C43" s="207"/>
      <c r="D43" s="224"/>
      <c r="E43" s="208"/>
    </row>
    <row r="44" spans="1:5">
      <c r="A44" s="247"/>
      <c r="B44" s="207" t="s">
        <v>213</v>
      </c>
      <c r="C44" s="207"/>
      <c r="D44" s="224"/>
      <c r="E44" s="208"/>
    </row>
    <row r="45" spans="1:5" ht="48">
      <c r="A45" s="248"/>
      <c r="B45" s="207" t="s">
        <v>214</v>
      </c>
      <c r="C45" s="207" t="s">
        <v>215</v>
      </c>
      <c r="D45" s="208"/>
      <c r="E45" s="208"/>
    </row>
    <row r="46" spans="1:5">
      <c r="A46" s="249" t="s">
        <v>216</v>
      </c>
      <c r="B46" s="207" t="s">
        <v>217</v>
      </c>
      <c r="C46" s="207"/>
      <c r="D46" s="208"/>
      <c r="E46" s="208"/>
    </row>
    <row r="47" spans="1:5" ht="36">
      <c r="A47" s="249"/>
      <c r="B47" s="207" t="s">
        <v>218</v>
      </c>
      <c r="C47" s="207"/>
      <c r="D47" s="208"/>
      <c r="E47" s="208"/>
    </row>
    <row r="48" spans="1:5">
      <c r="A48" s="249"/>
      <c r="B48" s="207" t="s">
        <v>219</v>
      </c>
      <c r="C48" s="207"/>
      <c r="D48" s="224"/>
      <c r="E48" s="208"/>
    </row>
    <row r="49" spans="1:5">
      <c r="A49" s="249"/>
      <c r="B49" s="207" t="s">
        <v>220</v>
      </c>
      <c r="C49" s="207"/>
      <c r="D49" s="224"/>
      <c r="E49" s="208"/>
    </row>
    <row r="50" spans="1:5" ht="13.5">
      <c r="A50" s="249"/>
      <c r="B50" s="207" t="s">
        <v>221</v>
      </c>
      <c r="C50" s="207"/>
      <c r="D50" s="224"/>
      <c r="E50" s="208"/>
    </row>
    <row r="51" spans="1:5">
      <c r="A51" s="249"/>
      <c r="B51" s="207" t="s">
        <v>222</v>
      </c>
      <c r="C51" s="207"/>
      <c r="D51" s="208"/>
      <c r="E51" s="208"/>
    </row>
    <row r="52" spans="1:5" ht="13.5">
      <c r="A52" s="249"/>
      <c r="B52" s="207" t="s">
        <v>223</v>
      </c>
      <c r="C52" s="207"/>
      <c r="D52" s="224"/>
      <c r="E52" s="208"/>
    </row>
    <row r="53" spans="1:5" ht="24">
      <c r="A53" s="246" t="s">
        <v>224</v>
      </c>
      <c r="B53" s="207" t="s">
        <v>225</v>
      </c>
      <c r="C53" s="207" t="s">
        <v>226</v>
      </c>
      <c r="D53" s="208"/>
      <c r="E53" s="208"/>
    </row>
    <row r="54" spans="1:5" ht="24">
      <c r="A54" s="247"/>
      <c r="B54" s="207" t="s">
        <v>227</v>
      </c>
      <c r="C54" s="207" t="s">
        <v>228</v>
      </c>
      <c r="D54" s="208"/>
      <c r="E54" s="208"/>
    </row>
    <row r="55" spans="1:5">
      <c r="A55" s="247"/>
      <c r="B55" s="207" t="s">
        <v>229</v>
      </c>
      <c r="C55" s="207"/>
      <c r="D55" s="224"/>
      <c r="E55" s="208"/>
    </row>
    <row r="56" spans="1:5">
      <c r="A56" s="247"/>
      <c r="B56" s="207" t="s">
        <v>230</v>
      </c>
      <c r="C56" s="207"/>
      <c r="D56" s="224"/>
      <c r="E56" s="208"/>
    </row>
    <row r="57" spans="1:5">
      <c r="A57" s="248"/>
      <c r="B57" s="207" t="s">
        <v>231</v>
      </c>
      <c r="C57" s="207"/>
      <c r="D57" s="224"/>
      <c r="E57" s="208"/>
    </row>
    <row r="58" spans="1:5">
      <c r="A58" s="250" t="s">
        <v>232</v>
      </c>
      <c r="B58" s="207" t="s">
        <v>233</v>
      </c>
      <c r="C58" s="207"/>
      <c r="D58" s="208"/>
      <c r="E58" s="208"/>
    </row>
    <row r="59" spans="1:5">
      <c r="A59" s="251"/>
      <c r="B59" s="207" t="s">
        <v>234</v>
      </c>
      <c r="C59" s="207"/>
      <c r="D59" s="224"/>
      <c r="E59" s="208"/>
    </row>
    <row r="60" spans="1:5" ht="72">
      <c r="A60" s="246" t="s">
        <v>235</v>
      </c>
      <c r="B60" s="207" t="s">
        <v>236</v>
      </c>
      <c r="C60" s="207" t="s">
        <v>237</v>
      </c>
      <c r="D60" s="208"/>
      <c r="E60" s="208"/>
    </row>
    <row r="61" spans="1:5" ht="20.25" customHeight="1">
      <c r="A61" s="247"/>
      <c r="B61" s="207" t="s">
        <v>238</v>
      </c>
      <c r="C61" s="207"/>
      <c r="D61" s="208"/>
      <c r="E61" s="208"/>
    </row>
    <row r="62" spans="1:5" ht="20.25" customHeight="1">
      <c r="A62" s="247"/>
      <c r="B62" s="207" t="s">
        <v>239</v>
      </c>
      <c r="C62" s="207" t="s">
        <v>240</v>
      </c>
      <c r="D62" s="224"/>
      <c r="E62" s="208"/>
    </row>
    <row r="63" spans="1:5" ht="20.25" customHeight="1">
      <c r="A63" s="248"/>
      <c r="B63" s="207" t="s">
        <v>241</v>
      </c>
      <c r="C63" s="207"/>
      <c r="D63" s="224"/>
      <c r="E63" s="208"/>
    </row>
    <row r="64" spans="1:5"/>
    <row r="65" spans="1:5" s="199" customFormat="1">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c r="A86" s="243" t="s">
        <v>7</v>
      </c>
      <c r="B86" s="244"/>
      <c r="C86" s="244"/>
      <c r="D86" s="24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41" t="s">
        <v>13</v>
      </c>
      <c r="B91" s="242"/>
      <c r="C91" s="210"/>
      <c r="D91" s="215"/>
      <c r="E91" s="216"/>
    </row>
    <row r="92" spans="1:5">
      <c r="A92" s="241" t="s">
        <v>14</v>
      </c>
      <c r="B92" s="242"/>
      <c r="C92" s="210"/>
      <c r="D92" s="215"/>
      <c r="E92" s="216"/>
    </row>
    <row r="93" spans="1:5">
      <c r="A93" s="241" t="s">
        <v>15</v>
      </c>
      <c r="B93" s="242"/>
      <c r="C93" s="210"/>
      <c r="D93" s="215"/>
      <c r="E93" s="216"/>
    </row>
    <row r="94" spans="1:5">
      <c r="A94" s="241" t="s">
        <v>16</v>
      </c>
      <c r="B94" s="242"/>
      <c r="C94" s="210"/>
      <c r="D94" s="215"/>
      <c r="E94" s="216"/>
    </row>
    <row r="95" spans="1:5"/>
    <row r="96" spans="1:5"/>
    <row r="97" spans="1:5">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abSelected="1" zoomScale="80" zoomScaleNormal="80" workbookViewId="0">
      <selection activeCell="L63" sqref="L63"/>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260</v>
      </c>
      <c r="B7" s="110">
        <v>120</v>
      </c>
      <c r="C7" s="110">
        <v>1</v>
      </c>
      <c r="D7" s="110">
        <v>120</v>
      </c>
      <c r="E7" s="164">
        <v>11.61</v>
      </c>
      <c r="F7" s="165">
        <v>-1E-3</v>
      </c>
      <c r="G7" s="166">
        <v>26.1</v>
      </c>
      <c r="H7" s="166">
        <v>26.1</v>
      </c>
      <c r="I7" s="166">
        <v>6.7</v>
      </c>
      <c r="J7" s="167">
        <v>37.58</v>
      </c>
      <c r="K7" s="167">
        <v>107.84</v>
      </c>
      <c r="L7" s="107">
        <f t="shared" ref="L7" si="0">IF($E7=0,"",D7*E7)</f>
        <v>1393.1999999999998</v>
      </c>
      <c r="M7" s="107">
        <f t="shared" ref="M7:M57" si="1">IF($F7=0,"",($F7/$B7)*$D7)</f>
        <v>-1E-3</v>
      </c>
      <c r="N7" s="107">
        <f t="shared" ref="N7:N57" si="2">IF($G7=0,"",$D7*$G7)</f>
        <v>3132</v>
      </c>
      <c r="O7" s="108">
        <f>IF($G7=0,"",$N7+M7)</f>
        <v>3131.9989999999998</v>
      </c>
      <c r="P7" s="108">
        <f>IF($G7=0,"",$L7-O7)</f>
        <v>-1738.799</v>
      </c>
      <c r="Q7" s="108">
        <f t="shared" ref="Q7:Q57" si="3">IF($H7=0,"",$D7*$H7)</f>
        <v>3132</v>
      </c>
      <c r="R7" s="108">
        <f>IF($H7=0,"",$Q7+$M7)</f>
        <v>3131.9989999999998</v>
      </c>
      <c r="S7" s="108">
        <f>IF($H7=0,"",$O7-$R7)</f>
        <v>0</v>
      </c>
      <c r="T7" s="108">
        <f>IF($I7=0,"",$D7*$I7)</f>
        <v>804</v>
      </c>
      <c r="U7" s="175">
        <f>IF($H7=0,"",$R7-$T7)</f>
        <v>2327.9989999999998</v>
      </c>
    </row>
    <row r="8" spans="1:21" ht="13.5" customHeight="1">
      <c r="A8" s="109" t="s">
        <v>261</v>
      </c>
      <c r="B8" s="110">
        <v>93</v>
      </c>
      <c r="C8" s="110">
        <v>1</v>
      </c>
      <c r="D8" s="110">
        <v>93</v>
      </c>
      <c r="E8" s="164">
        <v>11.89</v>
      </c>
      <c r="F8" s="168">
        <v>-1E-3</v>
      </c>
      <c r="G8" s="166">
        <v>24.01</v>
      </c>
      <c r="H8" s="166">
        <v>24.01</v>
      </c>
      <c r="I8" s="166">
        <v>7.05</v>
      </c>
      <c r="J8" s="167">
        <v>32.36</v>
      </c>
      <c r="K8" s="167">
        <v>93.06</v>
      </c>
      <c r="L8" s="107">
        <f t="shared" ref="L8:L57" si="4">IF($E8=0,"",D8*E8)</f>
        <v>1105.77</v>
      </c>
      <c r="M8" s="107">
        <f t="shared" si="1"/>
        <v>-1E-3</v>
      </c>
      <c r="N8" s="107">
        <f t="shared" si="2"/>
        <v>2232.9300000000003</v>
      </c>
      <c r="O8" s="108">
        <f t="shared" ref="O8:O57" si="5">IF($G8=0,"",$N8+M8)</f>
        <v>2232.9290000000001</v>
      </c>
      <c r="P8" s="108">
        <f t="shared" ref="P8:P57" si="6">IF($G8=0,"",$L8-O8)</f>
        <v>-1127.1590000000001</v>
      </c>
      <c r="Q8" s="108">
        <f t="shared" si="3"/>
        <v>2232.9300000000003</v>
      </c>
      <c r="R8" s="108">
        <f t="shared" ref="R8:R57" si="7">IF($H8=0,"",$Q8+$M8)</f>
        <v>2232.9290000000001</v>
      </c>
      <c r="S8" s="108">
        <f t="shared" ref="S8:S57" si="8">IF($H8=0,"",$O8-$R8)</f>
        <v>0</v>
      </c>
      <c r="T8" s="108">
        <f t="shared" ref="T8:T57" si="9">IF($I8=0,"",$D8*$I8)</f>
        <v>655.65</v>
      </c>
      <c r="U8" s="175">
        <f t="shared" ref="U8:U57" si="10">IF($H8=0,"",$R8-$T8)</f>
        <v>1577.279</v>
      </c>
    </row>
    <row r="9" spans="1:21" ht="13.5" customHeight="1">
      <c r="A9" s="109" t="s">
        <v>262</v>
      </c>
      <c r="B9" s="110">
        <v>124.66</v>
      </c>
      <c r="C9" s="110">
        <v>1</v>
      </c>
      <c r="D9" s="110">
        <v>124.66</v>
      </c>
      <c r="E9" s="164">
        <v>13.52</v>
      </c>
      <c r="F9" s="168">
        <v>-1E-3</v>
      </c>
      <c r="G9" s="166">
        <v>26.49</v>
      </c>
      <c r="H9" s="166">
        <v>26.49</v>
      </c>
      <c r="I9" s="166">
        <v>6.67</v>
      </c>
      <c r="J9" s="167">
        <v>46.99</v>
      </c>
      <c r="K9" s="167">
        <v>106.75</v>
      </c>
      <c r="L9" s="107">
        <f t="shared" si="4"/>
        <v>1685.4032</v>
      </c>
      <c r="M9" s="107">
        <f t="shared" si="1"/>
        <v>-1E-3</v>
      </c>
      <c r="N9" s="107">
        <f t="shared" si="2"/>
        <v>3302.2433999999998</v>
      </c>
      <c r="O9" s="108">
        <f t="shared" si="5"/>
        <v>3302.2423999999996</v>
      </c>
      <c r="P9" s="108">
        <f t="shared" si="6"/>
        <v>-1616.8391999999997</v>
      </c>
      <c r="Q9" s="108">
        <f t="shared" si="3"/>
        <v>3302.2433999999998</v>
      </c>
      <c r="R9" s="108">
        <f t="shared" si="7"/>
        <v>3302.2423999999996</v>
      </c>
      <c r="S9" s="108">
        <f t="shared" si="8"/>
        <v>0</v>
      </c>
      <c r="T9" s="108">
        <f t="shared" si="9"/>
        <v>831.48219999999992</v>
      </c>
      <c r="U9" s="175">
        <f t="shared" si="10"/>
        <v>2470.7601999999997</v>
      </c>
    </row>
    <row r="10" spans="1:21" ht="13.5" customHeight="1">
      <c r="A10" s="109" t="s">
        <v>263</v>
      </c>
      <c r="B10" s="110">
        <v>156.12</v>
      </c>
      <c r="C10" s="110">
        <v>1</v>
      </c>
      <c r="D10" s="110">
        <v>156.12</v>
      </c>
      <c r="E10" s="164">
        <v>13.05</v>
      </c>
      <c r="F10" s="168">
        <v>-1E-3</v>
      </c>
      <c r="G10" s="166">
        <v>22.56</v>
      </c>
      <c r="H10" s="166">
        <v>22.56</v>
      </c>
      <c r="I10" s="166">
        <v>7.52</v>
      </c>
      <c r="J10" s="167">
        <v>50.4</v>
      </c>
      <c r="K10" s="167">
        <v>120.39</v>
      </c>
      <c r="L10" s="107">
        <f t="shared" si="4"/>
        <v>2037.3660000000002</v>
      </c>
      <c r="M10" s="107">
        <f t="shared" si="1"/>
        <v>-1E-3</v>
      </c>
      <c r="N10" s="107">
        <f t="shared" si="2"/>
        <v>3522.0672</v>
      </c>
      <c r="O10" s="108">
        <f t="shared" si="5"/>
        <v>3522.0661999999998</v>
      </c>
      <c r="P10" s="108">
        <f t="shared" si="6"/>
        <v>-1484.7001999999995</v>
      </c>
      <c r="Q10" s="108">
        <f t="shared" si="3"/>
        <v>3522.0672</v>
      </c>
      <c r="R10" s="108">
        <f t="shared" si="7"/>
        <v>3522.0661999999998</v>
      </c>
      <c r="S10" s="108">
        <f t="shared" si="8"/>
        <v>0</v>
      </c>
      <c r="T10" s="108">
        <f t="shared" si="9"/>
        <v>1174.0224000000001</v>
      </c>
      <c r="U10" s="175">
        <f t="shared" si="10"/>
        <v>2348.0437999999995</v>
      </c>
    </row>
    <row r="11" spans="1:21" ht="13.5" customHeight="1">
      <c r="A11" s="109" t="s">
        <v>264</v>
      </c>
      <c r="B11" s="110">
        <v>173.66</v>
      </c>
      <c r="C11" s="110">
        <v>1</v>
      </c>
      <c r="D11" s="110">
        <v>173.66</v>
      </c>
      <c r="E11" s="164">
        <v>12.93</v>
      </c>
      <c r="F11" s="168">
        <v>-1E-3</v>
      </c>
      <c r="G11" s="166">
        <v>22.65</v>
      </c>
      <c r="H11" s="166">
        <v>22.65</v>
      </c>
      <c r="I11" s="166">
        <v>7.28</v>
      </c>
      <c r="J11" s="167">
        <v>52.74</v>
      </c>
      <c r="K11" s="167">
        <v>117.35</v>
      </c>
      <c r="L11" s="107">
        <f t="shared" si="4"/>
        <v>2245.4238</v>
      </c>
      <c r="M11" s="107">
        <f t="shared" si="1"/>
        <v>-1E-3</v>
      </c>
      <c r="N11" s="107">
        <f t="shared" si="2"/>
        <v>3933.3989999999999</v>
      </c>
      <c r="O11" s="108">
        <f t="shared" si="5"/>
        <v>3933.3979999999997</v>
      </c>
      <c r="P11" s="108">
        <f t="shared" si="6"/>
        <v>-1687.9741999999997</v>
      </c>
      <c r="Q11" s="108">
        <f t="shared" si="3"/>
        <v>3933.3989999999999</v>
      </c>
      <c r="R11" s="108">
        <f t="shared" si="7"/>
        <v>3933.3979999999997</v>
      </c>
      <c r="S11" s="108">
        <f t="shared" si="8"/>
        <v>0</v>
      </c>
      <c r="T11" s="108">
        <f t="shared" si="9"/>
        <v>1264.2447999999999</v>
      </c>
      <c r="U11" s="175">
        <f t="shared" si="10"/>
        <v>2669.1531999999997</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5</v>
      </c>
      <c r="D58" s="7">
        <f>SUM(D7:D57)</f>
        <v>667.43999999999994</v>
      </c>
      <c r="E58" s="128">
        <f t="shared" ref="E58" si="11">IFERROR(SUMPRODUCT($D$7:$D$57,E7:E57)/$D$58,0)</f>
        <v>12.686028706700229</v>
      </c>
      <c r="F58" s="127">
        <f t="shared" ref="F58" si="12">IFERROR(SUMPRODUCT($D$7:$D$57,F7:F57)/$D$58,0)</f>
        <v>-1.0000000000000002E-3</v>
      </c>
      <c r="G58" s="127">
        <f t="shared" ref="G58:I58" si="13">IFERROR(SUMPRODUCT($D$7:$D$57,G7:G57)/$D$58,0)</f>
        <v>24.155938511326863</v>
      </c>
      <c r="H58" s="127">
        <f t="shared" si="13"/>
        <v>24.155938511326863</v>
      </c>
      <c r="I58" s="127">
        <f t="shared" si="13"/>
        <v>7.0858794798034292</v>
      </c>
      <c r="J58" s="127">
        <f>IFERROR(SUMPRODUCT($D$7:$D$57,J7:J57)/$D$58,0)</f>
        <v>45.553352810739547</v>
      </c>
      <c r="K58" s="127">
        <f>IFERROR(SUMPRODUCT($D$7:$D$57,K7:K57)/$D$58,0)</f>
        <v>110.98693935035359</v>
      </c>
      <c r="L58" s="102">
        <f>SUM(L7:L57)</f>
        <v>8467.1630000000005</v>
      </c>
      <c r="M58" s="102">
        <f>SUM(M7:M57)</f>
        <v>-5.0000000000000001E-3</v>
      </c>
      <c r="N58" s="102">
        <f t="shared" ref="N58:T58" si="14">SUM(N7:N57)</f>
        <v>16122.639599999999</v>
      </c>
      <c r="O58" s="102">
        <f t="shared" si="14"/>
        <v>16122.634599999998</v>
      </c>
      <c r="P58" s="102">
        <f t="shared" si="14"/>
        <v>-7655.4715999999989</v>
      </c>
      <c r="Q58" s="102">
        <f t="shared" si="14"/>
        <v>16122.639599999999</v>
      </c>
      <c r="R58" s="102">
        <f t="shared" si="14"/>
        <v>16122.634599999998</v>
      </c>
      <c r="S58" s="102">
        <f t="shared" si="14"/>
        <v>0</v>
      </c>
      <c r="T58" s="102">
        <f t="shared" si="14"/>
        <v>4729.3994000000002</v>
      </c>
      <c r="U58" s="176">
        <f t="shared" ref="U58" si="15">SUM(U7:U57)</f>
        <v>11393.235199999999</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v>1121.4000000000001</v>
      </c>
      <c r="C63" s="110">
        <v>1</v>
      </c>
      <c r="D63" s="110">
        <v>1121.4000000000001</v>
      </c>
      <c r="E63" s="164">
        <v>10.66</v>
      </c>
      <c r="F63" s="165">
        <v>-2.33</v>
      </c>
      <c r="G63" s="182">
        <v>10.55</v>
      </c>
      <c r="H63" s="171">
        <v>10.55</v>
      </c>
      <c r="I63" s="171">
        <v>9.3699999999999992</v>
      </c>
      <c r="J63" s="13"/>
      <c r="K63" s="119"/>
      <c r="L63" s="107">
        <f t="shared" ref="L63:L93" si="16">IF($E63=0,"",$E63*$D63)</f>
        <v>11954.124000000002</v>
      </c>
      <c r="M63" s="121">
        <f t="shared" ref="M63:M93" si="17">IF($E63=0,"",F63*D63*Average_notional_PV_CO2_factor)</f>
        <v>-336.39030532800001</v>
      </c>
      <c r="N63" s="121">
        <f t="shared" ref="N63:N93" si="18">IF($G63=0,"",$G63*$D63)</f>
        <v>11830.770000000002</v>
      </c>
      <c r="O63" s="107">
        <f>IF($G63=0,"",$N63+$M63)</f>
        <v>11494.379694672003</v>
      </c>
      <c r="P63" s="108">
        <f>IF($G63=0,"",$L63-O63)</f>
        <v>459.74430532799852</v>
      </c>
      <c r="Q63" s="107">
        <f t="shared" ref="Q63:Q93" si="19">IF($H63=0,"",$H63*$D63)</f>
        <v>11830.770000000002</v>
      </c>
      <c r="R63" s="107">
        <f>IF($H63=0,"",$Q63+$M63)</f>
        <v>11494.379694672003</v>
      </c>
      <c r="S63" s="108">
        <f>IF($H63=0,"",$R63-$O63)</f>
        <v>0</v>
      </c>
      <c r="T63" s="107">
        <f>IF($I63=0,"",$I63*$D63)</f>
        <v>10507.518</v>
      </c>
      <c r="U63" s="178">
        <f>IF($H63=0,"",$R63-$T63)</f>
        <v>986.86169467200307</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1</v>
      </c>
      <c r="D94" s="6">
        <f>SUM(D63:D93)</f>
        <v>1121.4000000000001</v>
      </c>
      <c r="E94" s="152">
        <f>IFERROR(SUMPRODUCT($D$63:$D$93,E63:E93)/$D$94,0)</f>
        <v>10.66</v>
      </c>
      <c r="F94" s="184">
        <f t="shared" ref="F94:I94" si="26">IFERROR(SUMPRODUCT($D$63:$D$93,F63:F93)/$D$94,0)</f>
        <v>-2.33</v>
      </c>
      <c r="G94" s="152">
        <f t="shared" si="26"/>
        <v>10.55</v>
      </c>
      <c r="H94" s="152">
        <f t="shared" si="26"/>
        <v>10.55</v>
      </c>
      <c r="I94" s="152">
        <f t="shared" si="26"/>
        <v>9.3699999999999992</v>
      </c>
      <c r="J94" s="13"/>
      <c r="K94" s="119"/>
      <c r="L94" s="153">
        <f>SUM(L63:L93)</f>
        <v>11954.124000000002</v>
      </c>
      <c r="M94" s="153">
        <f t="shared" ref="M94:T94" si="27">SUM(M63:M93)</f>
        <v>-336.39030532800001</v>
      </c>
      <c r="N94" s="153">
        <f t="shared" si="27"/>
        <v>11830.770000000002</v>
      </c>
      <c r="O94" s="153">
        <f t="shared" si="27"/>
        <v>11494.379694672003</v>
      </c>
      <c r="P94" s="153">
        <f t="shared" si="27"/>
        <v>459.74430532799852</v>
      </c>
      <c r="Q94" s="153">
        <f t="shared" si="27"/>
        <v>11830.770000000002</v>
      </c>
      <c r="R94" s="153">
        <f t="shared" si="27"/>
        <v>11494.379694672003</v>
      </c>
      <c r="S94" s="153">
        <f t="shared" si="27"/>
        <v>0</v>
      </c>
      <c r="T94" s="153">
        <f t="shared" si="27"/>
        <v>10507.518</v>
      </c>
      <c r="U94" s="179">
        <f t="shared" ref="U94" si="28">SUM(U63:U93)</f>
        <v>986.86169467200307</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1788.8400000000001</v>
      </c>
      <c r="E96" s="155" t="s">
        <v>22</v>
      </c>
      <c r="F96" s="155" t="s">
        <v>22</v>
      </c>
      <c r="G96" s="155" t="s">
        <v>22</v>
      </c>
      <c r="H96" s="155" t="s">
        <v>22</v>
      </c>
      <c r="I96" s="155" t="s">
        <v>22</v>
      </c>
      <c r="J96" s="122"/>
      <c r="K96" s="123"/>
      <c r="L96" s="156">
        <f>L58+L94</f>
        <v>20421.287000000004</v>
      </c>
      <c r="M96" s="156">
        <f t="shared" ref="M96:T96" si="29">M58+M94</f>
        <v>-336.39530532800001</v>
      </c>
      <c r="N96" s="156">
        <f t="shared" si="29"/>
        <v>27953.409599999999</v>
      </c>
      <c r="O96" s="156">
        <f t="shared" si="29"/>
        <v>27617.014294672001</v>
      </c>
      <c r="P96" s="156">
        <f t="shared" si="29"/>
        <v>-7195.7272946720004</v>
      </c>
      <c r="Q96" s="156">
        <f t="shared" si="29"/>
        <v>27953.409599999999</v>
      </c>
      <c r="R96" s="156">
        <f t="shared" si="29"/>
        <v>27617.014294672001</v>
      </c>
      <c r="S96" s="156">
        <f t="shared" ref="S96" si="30">S58+S94</f>
        <v>0</v>
      </c>
      <c r="T96" s="156">
        <f t="shared" si="29"/>
        <v>15236.9174</v>
      </c>
      <c r="U96" s="181">
        <f>U58+U94</f>
        <v>12380.096894672002</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S6" sqref="S6"/>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8">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15"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650000000000006"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v>667.44</v>
      </c>
      <c r="C6" s="75">
        <f>2465.87+1695.12+2533.72+4568.55+4353.76</f>
        <v>15617.019999999999</v>
      </c>
      <c r="D6" s="75">
        <f>5076.37+4140.79+5187.17+7882.94+7803.42</f>
        <v>30090.690000000002</v>
      </c>
      <c r="E6" s="75">
        <v>0</v>
      </c>
      <c r="F6" s="75">
        <v>0</v>
      </c>
      <c r="G6" s="75">
        <v>0</v>
      </c>
      <c r="H6" s="75">
        <v>0</v>
      </c>
      <c r="I6" s="75">
        <v>0</v>
      </c>
      <c r="J6" s="75">
        <v>0</v>
      </c>
      <c r="K6" s="75">
        <v>0</v>
      </c>
      <c r="L6" s="76" t="s">
        <v>265</v>
      </c>
      <c r="M6" s="76" t="s">
        <v>265</v>
      </c>
      <c r="N6" s="293">
        <f>IF('EUI &amp; space heating demand'!B6="","",SUM('EUI &amp; space heating demand'!$D$6:$I$7)/SUM('EUI &amp; space heating demand'!$B$6:$B$7))</f>
        <v>45.083737864077669</v>
      </c>
      <c r="O6" s="293">
        <f>IF('EUI &amp; space heating demand'!B6="","",'EUI &amp; space heating demand'!C6/'EUI &amp; space heating demand'!B6)</f>
        <v>23.398387870070714</v>
      </c>
      <c r="P6" s="293">
        <f>IF('EUI &amp; space heating demand'!B6="","",Tables!B29)</f>
        <v>35</v>
      </c>
      <c r="Q6" s="293">
        <f>IF('EUI &amp; space heating demand'!B6="","",Tables!C29)</f>
        <v>15</v>
      </c>
      <c r="R6" s="77" t="s">
        <v>266</v>
      </c>
      <c r="S6" s="77" t="s">
        <v>268</v>
      </c>
      <c r="T6" s="79"/>
    </row>
    <row r="7" spans="1:20" ht="33.75" customHeight="1">
      <c r="A7" s="95" t="s">
        <v>50</v>
      </c>
      <c r="B7" s="75"/>
      <c r="C7" s="75"/>
      <c r="D7" s="75"/>
      <c r="E7" s="75"/>
      <c r="F7" s="75"/>
      <c r="G7" s="75"/>
      <c r="H7" s="75"/>
      <c r="I7" s="75"/>
      <c r="J7" s="75"/>
      <c r="K7" s="75"/>
      <c r="L7" s="76"/>
      <c r="M7" s="76"/>
      <c r="N7" s="294"/>
      <c r="O7" s="294"/>
      <c r="P7" s="294"/>
      <c r="Q7" s="294"/>
      <c r="R7" s="77"/>
      <c r="S7" s="77"/>
      <c r="T7" s="79"/>
    </row>
    <row r="8" spans="1:20" ht="19.5" customHeight="1">
      <c r="A8" s="63" t="s">
        <v>51</v>
      </c>
      <c r="B8" s="63">
        <f>SUM(B6:B7)</f>
        <v>667.44</v>
      </c>
      <c r="C8" s="63">
        <f>SUM(C6:C7)</f>
        <v>15617.019999999999</v>
      </c>
      <c r="D8" s="63">
        <f t="shared" ref="D8:K8" si="0">SUM(D6:D7)</f>
        <v>30090.690000000002</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t="s">
        <v>59</v>
      </c>
      <c r="B13" s="75">
        <v>1122.4000000000001</v>
      </c>
      <c r="C13" s="75">
        <f>33.17*B13</f>
        <v>37230.008000000002</v>
      </c>
      <c r="D13" s="75">
        <f>66.79*B13</f>
        <v>74965.09600000002</v>
      </c>
      <c r="E13" s="75">
        <v>0</v>
      </c>
      <c r="F13" s="75">
        <v>0</v>
      </c>
      <c r="G13" s="75">
        <v>0</v>
      </c>
      <c r="H13" s="75">
        <v>0</v>
      </c>
      <c r="I13" s="75">
        <v>0</v>
      </c>
      <c r="J13" s="75">
        <v>0</v>
      </c>
      <c r="K13" s="75">
        <v>0</v>
      </c>
      <c r="L13" s="76" t="s">
        <v>265</v>
      </c>
      <c r="M13" s="76" t="s">
        <v>265</v>
      </c>
      <c r="N13" s="96">
        <f>IF('EUI &amp; space heating demand'!B13="","",SUM('EUI &amp; space heating demand'!$D13:$K13)/'EUI &amp; space heating demand'!B13)</f>
        <v>66.790000000000006</v>
      </c>
      <c r="O13" s="96">
        <f>IF('EUI &amp; space heating demand'!B13="","",'EUI &amp; space heating demand'!C13/'EUI &amp; space heating demand'!B13)</f>
        <v>33.17</v>
      </c>
      <c r="P13" s="96">
        <f>IF('EUI &amp; space heating demand'!B13="","", VLOOKUP(A13,Tables!$A$24:$C$27,2))</f>
        <v>55</v>
      </c>
      <c r="Q13" s="96">
        <f>IF('EUI &amp; space heating demand'!B13="","", VLOOKUP(A13,Tables!$A$24:$C$27,3))</f>
        <v>15</v>
      </c>
      <c r="R13" s="77" t="s">
        <v>267</v>
      </c>
      <c r="S13" s="77" t="s">
        <v>268</v>
      </c>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1122.4000000000001</v>
      </c>
      <c r="C33" s="63">
        <f t="shared" ref="C33:K33" si="1">SUM(C13:C32)</f>
        <v>37230.008000000002</v>
      </c>
      <c r="D33" s="63">
        <f t="shared" si="1"/>
        <v>74965.09600000002</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zoomScale="80" zoomScaleNormal="80" workbookViewId="0">
      <selection activeCell="I63" sqref="I63"/>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8.4671630000000011</v>
      </c>
      <c r="D8" s="66">
        <f>(690.82+536.36+719.6+1283.93+1430.98)/1000</f>
        <v>4.6616900000000001</v>
      </c>
      <c r="E8" s="54"/>
      <c r="F8" s="26"/>
      <c r="G8" s="54"/>
      <c r="H8" s="24" t="s">
        <v>69</v>
      </c>
      <c r="I8" s="25">
        <f>'Part L Outputs'!L94/1000</f>
        <v>11.954124000000002</v>
      </c>
      <c r="J8" s="66">
        <v>6.82</v>
      </c>
      <c r="K8" s="81"/>
      <c r="L8" s="81"/>
      <c r="M8" s="90"/>
    </row>
    <row r="9" spans="1:13" s="27" customFormat="1" ht="45" customHeight="1">
      <c r="B9" s="24" t="s">
        <v>70</v>
      </c>
      <c r="C9" s="25">
        <f>'Part L Outputs'!O58/1000</f>
        <v>16.122634599999998</v>
      </c>
      <c r="D9" s="66">
        <f t="shared" ref="D9:D11" si="0">(690.82+536.36+719.6+1283.93+1430.98)/1000</f>
        <v>4.6616900000000001</v>
      </c>
      <c r="E9" s="54"/>
      <c r="F9" s="26"/>
      <c r="G9" s="54"/>
      <c r="H9" s="24" t="s">
        <v>70</v>
      </c>
      <c r="I9" s="25">
        <f>'Part L Outputs'!O94/1000</f>
        <v>11.494379694672004</v>
      </c>
      <c r="J9" s="66">
        <v>6.82</v>
      </c>
      <c r="K9" s="81"/>
      <c r="L9" s="81"/>
      <c r="M9" s="90"/>
    </row>
    <row r="10" spans="1:13" s="27" customFormat="1" ht="45" customHeight="1">
      <c r="B10" s="24" t="s">
        <v>71</v>
      </c>
      <c r="C10" s="25">
        <f>'Part L Outputs'!R58/1000</f>
        <v>16.122634599999998</v>
      </c>
      <c r="D10" s="66">
        <f t="shared" si="0"/>
        <v>4.6616900000000001</v>
      </c>
      <c r="E10" s="54"/>
      <c r="F10" s="26"/>
      <c r="G10" s="54"/>
      <c r="H10" s="24" t="s">
        <v>71</v>
      </c>
      <c r="I10" s="25">
        <f>'Part L Outputs'!R94/1000</f>
        <v>11.494379694672004</v>
      </c>
      <c r="J10" s="66">
        <v>6.82</v>
      </c>
      <c r="K10" s="81"/>
      <c r="L10" s="81"/>
      <c r="M10" s="90"/>
    </row>
    <row r="11" spans="1:13" s="27" customFormat="1" ht="45" customHeight="1">
      <c r="B11" s="24" t="s">
        <v>72</v>
      </c>
      <c r="C11" s="25">
        <f>'Part L Outputs'!T58/1000</f>
        <v>4.7293994000000001</v>
      </c>
      <c r="D11" s="66">
        <f t="shared" si="0"/>
        <v>4.6616900000000001</v>
      </c>
      <c r="E11" s="185"/>
      <c r="F11" s="26"/>
      <c r="G11" s="54"/>
      <c r="H11" s="24" t="s">
        <v>72</v>
      </c>
      <c r="I11" s="25">
        <f>'Part L Outputs'!T94/1000</f>
        <v>10.507517999999999</v>
      </c>
      <c r="J11" s="66">
        <v>6.82</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-7.6554715999999967</v>
      </c>
      <c r="D18" s="31">
        <f>IFERROR(C18/C8,0)</f>
        <v>-0.90413655671917448</v>
      </c>
      <c r="E18" s="28"/>
      <c r="F18" s="29"/>
      <c r="G18" s="28"/>
      <c r="H18" s="24" t="s">
        <v>79</v>
      </c>
      <c r="I18" s="25">
        <f>I8-I9</f>
        <v>0.45974430532799815</v>
      </c>
      <c r="J18" s="31">
        <f>IFERROR(I18/I8,0)</f>
        <v>3.8459054409005468E-2</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11.393235199999998</v>
      </c>
      <c r="D20" s="31">
        <f>IFERROR(C20/C8,0)</f>
        <v>1.3455788202022325</v>
      </c>
      <c r="E20" s="28"/>
      <c r="F20" s="29"/>
      <c r="G20" s="28"/>
      <c r="H20" s="24" t="s">
        <v>81</v>
      </c>
      <c r="I20" s="25">
        <f>I10-I11</f>
        <v>0.98686169467200457</v>
      </c>
      <c r="J20" s="31">
        <f>IFERROR(I20/I8,0)</f>
        <v>8.2554078799249905E-2</v>
      </c>
      <c r="K20" s="28"/>
      <c r="L20" s="28"/>
      <c r="M20" s="91"/>
    </row>
    <row r="21" spans="2:13" s="30" customFormat="1" ht="45" customHeight="1">
      <c r="B21" s="32" t="s">
        <v>82</v>
      </c>
      <c r="C21" s="33">
        <f>C8-C11</f>
        <v>3.737763600000001</v>
      </c>
      <c r="D21" s="34">
        <f>IFERROR(C21/C8,0)</f>
        <v>0.44144226348305809</v>
      </c>
      <c r="E21" s="28"/>
      <c r="F21" s="29"/>
      <c r="G21" s="28"/>
      <c r="H21" s="32" t="s">
        <v>83</v>
      </c>
      <c r="I21" s="33">
        <f>I8-I11</f>
        <v>1.4466060000000027</v>
      </c>
      <c r="J21" s="34">
        <f>IFERROR(I21/I8,0)</f>
        <v>0.12101313320825537</v>
      </c>
      <c r="K21" s="92"/>
      <c r="L21" s="28"/>
      <c r="M21" s="91"/>
    </row>
    <row r="22" spans="2:13" s="30" customFormat="1" ht="45" customHeight="1">
      <c r="B22" s="24" t="s">
        <v>84</v>
      </c>
      <c r="C22" s="25">
        <f>(C8-C21)</f>
        <v>4.7293994000000001</v>
      </c>
      <c r="D22" s="35" t="s">
        <v>22</v>
      </c>
      <c r="E22" s="28"/>
      <c r="F22" s="29"/>
      <c r="G22" s="28"/>
      <c r="H22" s="24" t="s">
        <v>84</v>
      </c>
      <c r="I22" s="25">
        <f>(I8-I21)</f>
        <v>10.507517999999999</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141.88198199999999</v>
      </c>
      <c r="D24" s="35" t="s">
        <v>22</v>
      </c>
      <c r="E24" s="28"/>
      <c r="F24" s="29"/>
      <c r="G24" s="28"/>
      <c r="H24" s="32" t="s">
        <v>86</v>
      </c>
      <c r="I24" s="36">
        <f>I22*30</f>
        <v>315.22553999999997</v>
      </c>
      <c r="J24" s="35" t="s">
        <v>22</v>
      </c>
      <c r="K24" s="28"/>
      <c r="L24" s="28"/>
      <c r="M24" s="91"/>
    </row>
    <row r="25" spans="2:13" s="30" customFormat="1" ht="45" customHeight="1">
      <c r="B25" s="32" t="s">
        <v>87</v>
      </c>
      <c r="C25" s="36">
        <f>IFERROR(IF('Development Information'!$D$10=0,C22*95*30,C22*'Development Information'!$D$10*30),"")</f>
        <v>13478.78829</v>
      </c>
      <c r="D25" s="35"/>
      <c r="E25" s="28"/>
      <c r="F25" s="29"/>
      <c r="G25" s="28"/>
      <c r="H25" s="32" t="s">
        <v>87</v>
      </c>
      <c r="I25" s="36">
        <f>IFERROR(IF('Development Information'!$D$10=0,I22*95*30,I22*'Development Information'!$D$10*30),"")</f>
        <v>29946.426299999999</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
      <c r="B27" s="309"/>
      <c r="C27" s="309"/>
      <c r="D27" s="309"/>
      <c r="E27" s="55"/>
      <c r="F27" s="37"/>
      <c r="G27" s="55"/>
      <c r="H27" s="300"/>
      <c r="I27" s="300"/>
      <c r="J27" s="30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10" t="s">
        <v>89</v>
      </c>
      <c r="C58" s="310"/>
      <c r="D58" s="310"/>
      <c r="E58" s="310"/>
      <c r="F58" s="310"/>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20.421287000000003</v>
      </c>
      <c r="D61" s="41"/>
      <c r="E61" s="42"/>
      <c r="F61" s="56">
        <f>$C$61</f>
        <v>20.421287000000003</v>
      </c>
      <c r="G61" s="56"/>
      <c r="H61" s="48" t="s">
        <v>97</v>
      </c>
      <c r="I61" s="49">
        <f>IFERROR('Part L Outputs'!J58,"")</f>
        <v>45.553352810739547</v>
      </c>
      <c r="J61" s="49">
        <f>IFERROR('Part L Outputs'!K58,"")</f>
        <v>110.98693935035359</v>
      </c>
      <c r="K61" s="44">
        <f>IFERROR(1-J61/I61,"")</f>
        <v>-1.436416476553787</v>
      </c>
      <c r="L61" s="55"/>
      <c r="M61" s="91"/>
    </row>
    <row r="62" spans="1:13" s="30" customFormat="1" ht="40.15" customHeight="1">
      <c r="B62" s="43" t="s">
        <v>98</v>
      </c>
      <c r="C62" s="40">
        <f>'Part L Outputs'!O96/1000</f>
        <v>27.617014294672</v>
      </c>
      <c r="D62" s="40">
        <f>C61-C62</f>
        <v>-7.1957272946719968</v>
      </c>
      <c r="E62" s="44">
        <f>IFERROR(D62/C61,0)</f>
        <v>-0.35236404515895575</v>
      </c>
      <c r="F62" s="56">
        <f>$C$61</f>
        <v>20.421287000000003</v>
      </c>
      <c r="G62" s="56"/>
      <c r="H62" s="28"/>
      <c r="I62" s="73"/>
      <c r="J62" s="73"/>
      <c r="K62" s="28"/>
      <c r="L62" s="55"/>
      <c r="M62" s="91"/>
    </row>
    <row r="63" spans="1:13" s="30" customFormat="1" ht="40.15" customHeight="1">
      <c r="B63" s="43" t="s">
        <v>99</v>
      </c>
      <c r="C63" s="40">
        <f>'Part L Outputs'!R96/1000</f>
        <v>27.617014294672</v>
      </c>
      <c r="D63" s="40">
        <f>C62-C63</f>
        <v>0</v>
      </c>
      <c r="E63" s="44">
        <f>IFERROR(D63/C61,0)</f>
        <v>0</v>
      </c>
      <c r="F63" s="56">
        <f>$C$61</f>
        <v>20.421287000000003</v>
      </c>
      <c r="G63" s="56"/>
      <c r="H63" s="28"/>
      <c r="I63" s="73"/>
      <c r="J63" s="73"/>
      <c r="K63" s="28"/>
      <c r="L63" s="55"/>
      <c r="M63" s="91"/>
    </row>
    <row r="64" spans="1:13" s="30" customFormat="1" ht="66">
      <c r="B64" s="43" t="s">
        <v>100</v>
      </c>
      <c r="C64" s="40">
        <f>'Part L Outputs'!T96/1000</f>
        <v>15.236917399999999</v>
      </c>
      <c r="D64" s="40">
        <f>C63-C64</f>
        <v>12.380096894672</v>
      </c>
      <c r="E64" s="44">
        <f>IFERROR(D64/C61,0)</f>
        <v>0.60623490060504015</v>
      </c>
      <c r="F64" s="56">
        <f>$C$61</f>
        <v>20.421287000000003</v>
      </c>
      <c r="G64" s="56"/>
      <c r="H64" s="71"/>
      <c r="I64" s="71" t="s">
        <v>258</v>
      </c>
      <c r="J64" s="71" t="s">
        <v>158</v>
      </c>
      <c r="K64" s="28"/>
      <c r="L64" s="55"/>
      <c r="M64" s="91"/>
    </row>
    <row r="65" spans="1:14" s="30" customFormat="1" ht="40.15" customHeight="1">
      <c r="B65" s="43" t="s">
        <v>101</v>
      </c>
      <c r="C65" s="45" t="s">
        <v>22</v>
      </c>
      <c r="D65" s="40">
        <f>SUM(D62:D64)</f>
        <v>5.1843696000000037</v>
      </c>
      <c r="E65" s="44">
        <f>IFERROR(D65/C61,0)</f>
        <v>0.2538708554460844</v>
      </c>
      <c r="F65" s="56">
        <f>$C$61</f>
        <v>20.421287000000003</v>
      </c>
      <c r="G65" s="56"/>
      <c r="H65" s="48" t="s">
        <v>102</v>
      </c>
      <c r="I65" s="67">
        <v>25.99</v>
      </c>
      <c r="J65" s="67">
        <v>29173</v>
      </c>
      <c r="K65" s="28"/>
      <c r="L65" s="55"/>
      <c r="M65" s="91"/>
    </row>
    <row r="66" spans="1:14" s="30" customFormat="1" ht="40.15" customHeight="1">
      <c r="B66" s="39"/>
      <c r="C66" s="45" t="s">
        <v>22</v>
      </c>
      <c r="D66" s="46" t="s">
        <v>103</v>
      </c>
      <c r="E66" s="44" t="s">
        <v>22</v>
      </c>
      <c r="F66" s="53"/>
      <c r="G66" s="53"/>
      <c r="H66" s="48" t="s">
        <v>104</v>
      </c>
      <c r="I66" s="67">
        <v>18.04</v>
      </c>
      <c r="J66" s="67"/>
      <c r="K66" s="28"/>
      <c r="L66" s="55"/>
      <c r="M66" s="91"/>
    </row>
    <row r="67" spans="1:14" s="30" customFormat="1" ht="40.15" customHeight="1">
      <c r="B67" s="39" t="s">
        <v>105</v>
      </c>
      <c r="C67" s="45" t="s">
        <v>22</v>
      </c>
      <c r="D67" s="47">
        <f>C24+I24</f>
        <v>457.10752199999996</v>
      </c>
      <c r="E67" s="44" t="s">
        <v>22</v>
      </c>
      <c r="F67" s="53"/>
      <c r="G67" s="53"/>
      <c r="H67" s="28"/>
      <c r="I67" s="28"/>
      <c r="J67" s="28"/>
      <c r="K67" s="28"/>
      <c r="L67" s="55"/>
      <c r="M67" s="91"/>
    </row>
    <row r="68" spans="1:14" s="28" customFormat="1" ht="15">
      <c r="C68" s="73"/>
      <c r="D68" s="73"/>
      <c r="L68" s="55"/>
      <c r="M68" s="29"/>
    </row>
    <row r="69" spans="1:14" ht="26.25">
      <c r="A69" s="57"/>
      <c r="B69" s="310" t="s">
        <v>106</v>
      </c>
      <c r="C69" s="310"/>
      <c r="D69" s="310"/>
      <c r="E69" s="310"/>
      <c r="F69" s="310"/>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3" t="s">
        <v>108</v>
      </c>
      <c r="H71" s="303"/>
      <c r="I71" s="295" t="s">
        <v>109</v>
      </c>
      <c r="J71" s="304"/>
      <c r="K71" s="305"/>
      <c r="M71" s="91"/>
    </row>
    <row r="72" spans="1:14" ht="67.150000000000006" customHeight="1">
      <c r="B72" s="39" t="str">
        <f>IF('EUI &amp; space heating demand'!$B$6="","","Residential")</f>
        <v>Residential</v>
      </c>
      <c r="C72" s="39">
        <f>IF('EUI &amp; space heating demand'!$B$6="","",'EUI &amp; space heating demand'!N6)</f>
        <v>45.083737864077669</v>
      </c>
      <c r="D72" s="39">
        <f>IF('EUI &amp; space heating demand'!$B$6="","",'EUI &amp; space heating demand'!O6)</f>
        <v>23.398387870070714</v>
      </c>
      <c r="E72" s="97">
        <f>IF('EUI &amp; space heating demand'!B6="","", 'EUI &amp; space heating demand'!P6)</f>
        <v>35</v>
      </c>
      <c r="F72" s="97">
        <f>IF('EUI &amp; space heating demand'!B6="","", 'EUI &amp; space heating demand'!Q6)</f>
        <v>15</v>
      </c>
      <c r="G72" s="316" t="str">
        <f>IF('EUI &amp; space heating demand'!$B$6="","",CONCATENATE('EUI &amp; space heating demand'!R6, " &amp; ", 'EUI &amp; space heating demand'!S6,  " dwellings / ", 'EUI &amp; space heating demand'!R7, " &amp; ", 'EUI &amp; space heating demand'!S7, " Landlord Circulation " ))</f>
        <v xml:space="preserve">Part L1 - SAP 10.2 &amp; none dwellings /  &amp;  Landlord Circulation </v>
      </c>
      <c r="H72" s="317"/>
      <c r="I72" s="297" t="str">
        <f>IF('EUI &amp; space heating demand'!T6="","", CONCATENATE('EUI &amp; space heating demand'!T6, " &amp; ", 'EUI &amp; space heating demand'!T7))</f>
        <v/>
      </c>
      <c r="J72" s="297"/>
      <c r="K72" s="298"/>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Office</v>
      </c>
      <c r="C75" s="191">
        <f>IF('EUI &amp; space heating demand'!B13="","",'EUI &amp; space heating demand'!N13)</f>
        <v>66.790000000000006</v>
      </c>
      <c r="D75" s="191">
        <f>IF('EUI &amp; space heating demand'!B13="","",'EUI &amp; space heating demand'!O13)</f>
        <v>33.17</v>
      </c>
      <c r="E75" s="192">
        <f>IF('EUI &amp; space heating demand'!B13="","", 'EUI &amp; space heating demand'!P13)</f>
        <v>55</v>
      </c>
      <c r="F75" s="192">
        <f>IF('EUI &amp; space heating demand'!B13="","", 'EUI &amp; space heating demand'!Q13)</f>
        <v>15</v>
      </c>
      <c r="G75" s="311" t="str">
        <f>IF('EUI &amp; space heating demand'!B13="","",CONCATENATE('EUI &amp; space heating demand'!R13," &amp; ",'EUI &amp; space heating demand'!S13))</f>
        <v>Part L2 - SBEM &amp; none</v>
      </c>
      <c r="H75" s="311"/>
      <c r="I75" s="311" t="str">
        <f>IF('EUI &amp; space heating demand'!T13="","", 'EUI &amp; space heating demand'!T13)</f>
        <v/>
      </c>
      <c r="J75" s="311"/>
      <c r="K75" s="312"/>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8.4671630000000011</v>
      </c>
      <c r="E7" s="135">
        <f t="shared" ref="E7:E12" si="0">D7*0.65</f>
        <v>5.5036559500000006</v>
      </c>
    </row>
    <row r="8" spans="1:5">
      <c r="A8" s="134" t="s">
        <v>98</v>
      </c>
      <c r="B8" s="136">
        <f>'GLA Summary Tables'!C9</f>
        <v>16.122634599999998</v>
      </c>
      <c r="C8" s="136">
        <f>IF(B8&lt;0,IF('GLA Summary Tables'!C18&lt;0,0,'GLA Summary Tables'!C18)+B8,IF('GLA Summary Tables'!C18&lt;0,0,'GLA Summary Tables'!C18))</f>
        <v>0</v>
      </c>
      <c r="D8" s="135">
        <f>'GLA Summary Tables'!C$8</f>
        <v>8.4671630000000011</v>
      </c>
      <c r="E8" s="135">
        <f t="shared" si="0"/>
        <v>5.5036559500000006</v>
      </c>
    </row>
    <row r="9" spans="1:5">
      <c r="A9" s="134" t="s">
        <v>112</v>
      </c>
      <c r="B9" s="136">
        <f>'GLA Summary Tables'!C10</f>
        <v>16.122634599999998</v>
      </c>
      <c r="C9" s="136">
        <f>IF(B9&lt;0,IF('GLA Summary Tables'!C19&lt;0,0,'GLA Summary Tables'!C19)+B9,IF('GLA Summary Tables'!C19&lt;0,0,'GLA Summary Tables'!C19))</f>
        <v>0</v>
      </c>
      <c r="D9" s="135">
        <f>'GLA Summary Tables'!C$8</f>
        <v>8.4671630000000011</v>
      </c>
      <c r="E9" s="135">
        <f t="shared" si="0"/>
        <v>5.5036559500000006</v>
      </c>
    </row>
    <row r="10" spans="1:5">
      <c r="A10" s="134" t="s">
        <v>113</v>
      </c>
      <c r="B10" s="136">
        <f>'GLA Summary Tables'!C11</f>
        <v>4.7293994000000001</v>
      </c>
      <c r="C10" s="136">
        <f>IF(B10&lt;0,IF('GLA Summary Tables'!C20&lt;0,0,'GLA Summary Tables'!C20)+B10,IF('GLA Summary Tables'!C20&lt;0,0,'GLA Summary Tables'!C20))</f>
        <v>11.393235199999998</v>
      </c>
      <c r="D10" s="135">
        <f>'GLA Summary Tables'!C$8</f>
        <v>8.4671630000000011</v>
      </c>
      <c r="E10" s="135">
        <f t="shared" si="0"/>
        <v>5.5036559500000006</v>
      </c>
    </row>
    <row r="11" spans="1:5">
      <c r="A11" s="134" t="s">
        <v>114</v>
      </c>
      <c r="B11" s="136">
        <v>0</v>
      </c>
      <c r="C11" s="136">
        <f>'GLA Summary Tables'!C22</f>
        <v>4.7293994000000001</v>
      </c>
      <c r="D11" s="135">
        <f>'GLA Summary Tables'!C$8</f>
        <v>8.4671630000000011</v>
      </c>
      <c r="E11" s="135">
        <f t="shared" si="0"/>
        <v>5.5036559500000006</v>
      </c>
    </row>
    <row r="12" spans="1:5">
      <c r="A12" s="134"/>
      <c r="B12" s="133"/>
      <c r="C12" s="133"/>
      <c r="D12" s="135">
        <f>'GLA Summary Tables'!C$8</f>
        <v>8.4671630000000011</v>
      </c>
      <c r="E12" s="135">
        <f t="shared" si="0"/>
        <v>5.5036559500000006</v>
      </c>
    </row>
    <row r="13" spans="1:5">
      <c r="A13" s="132" t="s">
        <v>115</v>
      </c>
      <c r="B13" s="133"/>
      <c r="C13" s="133"/>
      <c r="D13" s="134"/>
      <c r="E13" s="134"/>
    </row>
    <row r="14" spans="1:5">
      <c r="A14" s="134" t="s">
        <v>111</v>
      </c>
      <c r="B14" s="133"/>
      <c r="C14" s="133"/>
      <c r="D14" s="135">
        <f>'GLA Summary Tables'!I$8</f>
        <v>11.954124000000002</v>
      </c>
      <c r="E14" s="135">
        <f t="shared" ref="E14:E19" si="1">D14*0.65</f>
        <v>7.7701806000000015</v>
      </c>
    </row>
    <row r="15" spans="1:5">
      <c r="A15" s="134" t="s">
        <v>98</v>
      </c>
      <c r="B15" s="136">
        <f>'GLA Summary Tables'!I9</f>
        <v>11.494379694672004</v>
      </c>
      <c r="C15" s="136">
        <f>'GLA Summary Tables'!I18</f>
        <v>0.45974430532799815</v>
      </c>
      <c r="D15" s="135">
        <f>'GLA Summary Tables'!I$8</f>
        <v>11.954124000000002</v>
      </c>
      <c r="E15" s="135">
        <f t="shared" si="1"/>
        <v>7.7701806000000015</v>
      </c>
    </row>
    <row r="16" spans="1:5">
      <c r="A16" s="134" t="s">
        <v>112</v>
      </c>
      <c r="B16" s="136">
        <f>'GLA Summary Tables'!I10</f>
        <v>11.494379694672004</v>
      </c>
      <c r="C16" s="136">
        <f>'GLA Summary Tables'!I19</f>
        <v>0</v>
      </c>
      <c r="D16" s="135">
        <f>'GLA Summary Tables'!I$8</f>
        <v>11.954124000000002</v>
      </c>
      <c r="E16" s="135">
        <f t="shared" si="1"/>
        <v>7.7701806000000015</v>
      </c>
    </row>
    <row r="17" spans="1:5">
      <c r="A17" s="134" t="s">
        <v>113</v>
      </c>
      <c r="B17" s="136">
        <f>'GLA Summary Tables'!I11</f>
        <v>10.507517999999999</v>
      </c>
      <c r="C17" s="136">
        <f>'GLA Summary Tables'!I20</f>
        <v>0.98686169467200457</v>
      </c>
      <c r="D17" s="135">
        <f>'GLA Summary Tables'!I$8</f>
        <v>11.954124000000002</v>
      </c>
      <c r="E17" s="135">
        <f t="shared" si="1"/>
        <v>7.7701806000000015</v>
      </c>
    </row>
    <row r="18" spans="1:5">
      <c r="A18" s="134" t="s">
        <v>114</v>
      </c>
      <c r="B18" s="136">
        <v>0</v>
      </c>
      <c r="C18" s="136">
        <f>'GLA Summary Tables'!I22</f>
        <v>10.507517999999999</v>
      </c>
      <c r="D18" s="135">
        <f>'GLA Summary Tables'!I$8</f>
        <v>11.954124000000002</v>
      </c>
      <c r="E18" s="135">
        <f t="shared" si="1"/>
        <v>7.7701806000000015</v>
      </c>
    </row>
    <row r="19" spans="1:5">
      <c r="A19" s="134"/>
      <c r="B19" s="133"/>
      <c r="C19" s="133"/>
      <c r="D19" s="135">
        <f>'GLA Summary Tables'!I$8</f>
        <v>11.954124000000002</v>
      </c>
      <c r="E19" s="135">
        <f t="shared" si="1"/>
        <v>7.7701806000000015</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Props1.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3.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2024-01-02T12:55:26Z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