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EAEB52B8-08EA-4266-A188-2A47D04BB9CF}" xr6:coauthVersionLast="47" xr6:coauthVersionMax="47" xr10:uidLastSave="{00000000-0000-0000-0000-000000000000}"/>
  <bookViews>
    <workbookView xWindow="-28920" yWindow="-4215" windowWidth="29040" windowHeight="15720"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0" l="1"/>
  <c r="D50" i="10" l="1"/>
  <c r="J66" i="6" l="1"/>
  <c r="J65" i="6"/>
  <c r="N13" i="8"/>
  <c r="C75" i="6" s="1"/>
  <c r="D63" i="2"/>
  <c r="T63" i="2" s="1"/>
  <c r="T94" i="2" s="1"/>
  <c r="I11" i="6" s="1"/>
  <c r="B17" i="9" s="1"/>
  <c r="C25" i="6"/>
  <c r="B72" i="6"/>
  <c r="Q3" i="2"/>
  <c r="U61" i="2"/>
  <c r="S61" i="2"/>
  <c r="P61" i="2"/>
  <c r="U4" i="2"/>
  <c r="S4" i="2"/>
  <c r="P4" i="2"/>
  <c r="C11" i="6"/>
  <c r="L8" i="2"/>
  <c r="M8" i="2"/>
  <c r="N8" i="2"/>
  <c r="O8" i="2"/>
  <c r="P8" i="2"/>
  <c r="Q8" i="2"/>
  <c r="R8" i="2"/>
  <c r="U8" i="2"/>
  <c r="S8" i="2"/>
  <c r="T8" i="2"/>
  <c r="L9" i="2"/>
  <c r="M9" i="2"/>
  <c r="N9" i="2"/>
  <c r="O9" i="2"/>
  <c r="Q9" i="2"/>
  <c r="R9" i="2"/>
  <c r="U9" i="2"/>
  <c r="T9" i="2"/>
  <c r="L10" i="2"/>
  <c r="P10" i="2"/>
  <c r="M10" i="2"/>
  <c r="N10" i="2"/>
  <c r="O10" i="2"/>
  <c r="S10" i="2"/>
  <c r="Q10" i="2"/>
  <c r="R10" i="2"/>
  <c r="U10" i="2"/>
  <c r="T10" i="2"/>
  <c r="L11" i="2"/>
  <c r="M11" i="2"/>
  <c r="R11" i="2"/>
  <c r="U11" i="2"/>
  <c r="N11" i="2"/>
  <c r="O11" i="2"/>
  <c r="S11" i="2"/>
  <c r="Q11" i="2"/>
  <c r="T11" i="2"/>
  <c r="L12" i="2"/>
  <c r="M12" i="2"/>
  <c r="N12" i="2"/>
  <c r="O12" i="2"/>
  <c r="P12" i="2"/>
  <c r="Q12" i="2"/>
  <c r="R12" i="2"/>
  <c r="U12" i="2"/>
  <c r="S12" i="2"/>
  <c r="T12" i="2"/>
  <c r="L13" i="2"/>
  <c r="M13" i="2"/>
  <c r="N13" i="2"/>
  <c r="O13" i="2"/>
  <c r="Q13" i="2"/>
  <c r="R13" i="2"/>
  <c r="U13" i="2"/>
  <c r="T13" i="2"/>
  <c r="L14" i="2"/>
  <c r="P14" i="2"/>
  <c r="M14" i="2"/>
  <c r="N14" i="2"/>
  <c r="O14" i="2"/>
  <c r="S14" i="2"/>
  <c r="Q14" i="2"/>
  <c r="R14" i="2"/>
  <c r="U14" i="2"/>
  <c r="T14" i="2"/>
  <c r="L15" i="2"/>
  <c r="P15" i="2"/>
  <c r="M15" i="2"/>
  <c r="R15" i="2"/>
  <c r="U15" i="2"/>
  <c r="N15" i="2"/>
  <c r="O15" i="2"/>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c r="P11" i="2"/>
  <c r="S9" i="2"/>
  <c r="P9" i="2"/>
  <c r="S13" i="2"/>
  <c r="P13"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Q94" i="2" s="1"/>
  <c r="Q96" i="2" s="1"/>
  <c r="R64" i="2"/>
  <c r="U64" i="2"/>
  <c r="R65" i="2"/>
  <c r="O65" i="2"/>
  <c r="P65" i="2"/>
  <c r="O64" i="2"/>
  <c r="P64" i="2"/>
  <c r="S64" i="2"/>
  <c r="U65" i="2"/>
  <c r="S65" i="2"/>
  <c r="Q7" i="2"/>
  <c r="N7" i="2"/>
  <c r="M7" i="2"/>
  <c r="R7" i="2"/>
  <c r="U7" i="2"/>
  <c r="L7" i="2"/>
  <c r="I60" i="2"/>
  <c r="H60" i="2"/>
  <c r="G60" i="2"/>
  <c r="O7" i="2"/>
  <c r="S7" i="2"/>
  <c r="Q58" i="2"/>
  <c r="N58" i="2"/>
  <c r="M58" i="2"/>
  <c r="T58" i="2"/>
  <c r="I3" i="2"/>
  <c r="G3" i="2"/>
  <c r="H3" i="2"/>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c r="P6" i="8"/>
  <c r="E72" i="6"/>
  <c r="Q14" i="8"/>
  <c r="F76" i="6"/>
  <c r="Q15" i="8"/>
  <c r="F77" i="6"/>
  <c r="Q16" i="8"/>
  <c r="F78" i="6"/>
  <c r="Q17" i="8"/>
  <c r="Q18" i="8"/>
  <c r="Q19" i="8"/>
  <c r="Q20" i="8"/>
  <c r="F82" i="6"/>
  <c r="Q21" i="8"/>
  <c r="Q22" i="8"/>
  <c r="Q23" i="8"/>
  <c r="Q24" i="8"/>
  <c r="Q25" i="8"/>
  <c r="Q26" i="8"/>
  <c r="Q27" i="8"/>
  <c r="Q28" i="8"/>
  <c r="Q29" i="8"/>
  <c r="Q30" i="8"/>
  <c r="Q31" i="8"/>
  <c r="Q32" i="8"/>
  <c r="P14" i="8"/>
  <c r="E76" i="6"/>
  <c r="P15" i="8"/>
  <c r="E77" i="6"/>
  <c r="P16" i="8"/>
  <c r="E78" i="6"/>
  <c r="P17" i="8"/>
  <c r="P18" i="8"/>
  <c r="P19" i="8"/>
  <c r="P20" i="8"/>
  <c r="E82" i="6"/>
  <c r="P21" i="8"/>
  <c r="P22" i="8"/>
  <c r="P23" i="8"/>
  <c r="P24" i="8"/>
  <c r="P25" i="8"/>
  <c r="P27" i="8"/>
  <c r="P28" i="8"/>
  <c r="P29" i="8"/>
  <c r="P30" i="8"/>
  <c r="P31" i="8"/>
  <c r="P32" i="8"/>
  <c r="Q13" i="8"/>
  <c r="F75" i="6" s="1"/>
  <c r="P13" i="8"/>
  <c r="E75" i="6" s="1"/>
  <c r="O14" i="8"/>
  <c r="D76" i="6"/>
  <c r="O15" i="8"/>
  <c r="O16" i="8"/>
  <c r="D78" i="6"/>
  <c r="O17" i="8"/>
  <c r="O18" i="8"/>
  <c r="O19" i="8"/>
  <c r="O20" i="8"/>
  <c r="D82" i="6"/>
  <c r="O21" i="8"/>
  <c r="O22" i="8"/>
  <c r="O23" i="8"/>
  <c r="O24" i="8"/>
  <c r="O25" i="8"/>
  <c r="O27" i="8"/>
  <c r="O28" i="8"/>
  <c r="O29" i="8"/>
  <c r="O30" i="8"/>
  <c r="O31" i="8"/>
  <c r="O32" i="8"/>
  <c r="O13" i="8"/>
  <c r="D75" i="6" s="1"/>
  <c r="C76" i="6"/>
  <c r="N15" i="8"/>
  <c r="N16" i="8"/>
  <c r="C78" i="6"/>
  <c r="N17" i="8"/>
  <c r="N18" i="8"/>
  <c r="N19" i="8"/>
  <c r="N20" i="8"/>
  <c r="C82" i="6"/>
  <c r="N21" i="8"/>
  <c r="N22" i="8"/>
  <c r="N23" i="8"/>
  <c r="N25" i="8"/>
  <c r="N27" i="8"/>
  <c r="N28" i="8"/>
  <c r="N29" i="8"/>
  <c r="N30" i="8"/>
  <c r="N31" i="8"/>
  <c r="N32" i="8"/>
  <c r="O6" i="8"/>
  <c r="D72" i="6"/>
  <c r="N6" i="8"/>
  <c r="C72" i="6"/>
  <c r="I75" i="6"/>
  <c r="D58" i="2"/>
  <c r="D33" i="8"/>
  <c r="E33" i="8"/>
  <c r="F33" i="8"/>
  <c r="G33" i="8"/>
  <c r="H33" i="8"/>
  <c r="I33" i="8"/>
  <c r="J33" i="8"/>
  <c r="K33" i="8"/>
  <c r="B33" i="8"/>
  <c r="J8" i="8"/>
  <c r="B8" i="8"/>
  <c r="C8" i="8"/>
  <c r="D8" i="8"/>
  <c r="E8" i="8"/>
  <c r="F8" i="8"/>
  <c r="G8" i="8"/>
  <c r="H8" i="8"/>
  <c r="I8" i="8"/>
  <c r="K8" i="8"/>
  <c r="C94" i="2"/>
  <c r="C58" i="2"/>
  <c r="P7" i="2"/>
  <c r="P58" i="2"/>
  <c r="O58" i="2"/>
  <c r="H58" i="2"/>
  <c r="J58" i="2"/>
  <c r="I61" i="6"/>
  <c r="I58" i="2"/>
  <c r="K58" i="2"/>
  <c r="J61" i="6"/>
  <c r="F58" i="2"/>
  <c r="E58" i="2"/>
  <c r="G58" i="2"/>
  <c r="R58" i="2"/>
  <c r="L58" i="2"/>
  <c r="U58" i="2"/>
  <c r="S58" i="2"/>
  <c r="K61" i="6"/>
  <c r="B10" i="9"/>
  <c r="C9" i="6"/>
  <c r="B8" i="9"/>
  <c r="C10" i="6"/>
  <c r="B9" i="9"/>
  <c r="C8" i="6"/>
  <c r="C20" i="6"/>
  <c r="C10" i="9"/>
  <c r="C19" i="6"/>
  <c r="C9" i="9"/>
  <c r="D12" i="9"/>
  <c r="E12" i="9"/>
  <c r="D8" i="9"/>
  <c r="E8" i="9"/>
  <c r="D11" i="9"/>
  <c r="E11" i="9"/>
  <c r="D10" i="9"/>
  <c r="E10" i="9"/>
  <c r="D7" i="9"/>
  <c r="E7" i="9"/>
  <c r="D9" i="9"/>
  <c r="E9" i="9"/>
  <c r="C18" i="6"/>
  <c r="C8" i="9"/>
  <c r="C21" i="6"/>
  <c r="D21" i="6"/>
  <c r="D19" i="6"/>
  <c r="D20" i="6"/>
  <c r="C22" i="6"/>
  <c r="C11" i="9"/>
  <c r="D18" i="6"/>
  <c r="C24" i="6"/>
  <c r="D94" i="2" l="1"/>
  <c r="L63" i="2"/>
  <c r="L94" i="2" s="1"/>
  <c r="N63" i="2"/>
  <c r="N94" i="2" s="1"/>
  <c r="N96" i="2" s="1"/>
  <c r="T96" i="2"/>
  <c r="C64" i="6" s="1"/>
  <c r="O63" i="2"/>
  <c r="O94" i="2" s="1"/>
  <c r="L96" i="2"/>
  <c r="C61" i="6" s="1"/>
  <c r="I8" i="6"/>
  <c r="R63" i="2"/>
  <c r="M94" i="2"/>
  <c r="M96" i="2" s="1"/>
  <c r="D96" i="2" l="1"/>
  <c r="E94" i="2"/>
  <c r="G94" i="2"/>
  <c r="F94" i="2"/>
  <c r="H94" i="2"/>
  <c r="I94" i="2"/>
  <c r="P63" i="2"/>
  <c r="P94" i="2" s="1"/>
  <c r="P96" i="2" s="1"/>
  <c r="I9" i="6"/>
  <c r="I18" i="6" s="1"/>
  <c r="O96" i="2"/>
  <c r="C62" i="6" s="1"/>
  <c r="R94" i="2"/>
  <c r="S63" i="2"/>
  <c r="S94" i="2" s="1"/>
  <c r="S96" i="2" s="1"/>
  <c r="U63" i="2"/>
  <c r="U94" i="2" s="1"/>
  <c r="U96" i="2" s="1"/>
  <c r="D18" i="9"/>
  <c r="E18" i="9" s="1"/>
  <c r="D15" i="9"/>
  <c r="E15" i="9" s="1"/>
  <c r="D16" i="9"/>
  <c r="E16" i="9" s="1"/>
  <c r="D17" i="9"/>
  <c r="E17" i="9" s="1"/>
  <c r="D19" i="9"/>
  <c r="E19" i="9" s="1"/>
  <c r="I21" i="6"/>
  <c r="J21" i="6" s="1"/>
  <c r="D14" i="9"/>
  <c r="E14" i="9" s="1"/>
  <c r="F62" i="6"/>
  <c r="F63" i="6"/>
  <c r="F65" i="6"/>
  <c r="F64" i="6"/>
  <c r="F61" i="6"/>
  <c r="I22" i="6" l="1"/>
  <c r="C18" i="9" s="1"/>
  <c r="C15" i="9"/>
  <c r="J18" i="6"/>
  <c r="R96" i="2"/>
  <c r="C63" i="6" s="1"/>
  <c r="D64" i="6" s="1"/>
  <c r="E64" i="6" s="1"/>
  <c r="I10" i="6"/>
  <c r="I19" i="6" s="1"/>
  <c r="D62" i="6"/>
  <c r="B15" i="9"/>
  <c r="I24" i="6" l="1"/>
  <c r="D67" i="6" s="1"/>
  <c r="I25" i="6"/>
  <c r="C16" i="9"/>
  <c r="J19" i="6"/>
  <c r="E62" i="6"/>
  <c r="B16" i="9"/>
  <c r="I20" i="6"/>
  <c r="D63" i="6"/>
  <c r="E63" i="6" s="1"/>
  <c r="J20" i="6" l="1"/>
  <c r="C17" i="9"/>
  <c r="D65" i="6"/>
  <c r="E65" i="6" s="1"/>
</calcChain>
</file>

<file path=xl/sharedStrings.xml><?xml version="1.0" encoding="utf-8"?>
<sst xmlns="http://schemas.openxmlformats.org/spreadsheetml/2006/main" count="446" uniqueCount="278">
  <si>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</si>
  <si>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</si>
  <si>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</si>
  <si>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</si>
  <si>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</si>
  <si>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</si>
  <si>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</si>
  <si>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</si>
  <si>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</si>
  <si>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</si>
  <si>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</si>
  <si>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</si>
  <si>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</si>
  <si>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</si>
  <si>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</si>
  <si>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</si>
  <si>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</si>
  <si>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</si>
  <si>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</si>
  <si>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</si>
  <si>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</si>
  <si>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</si>
  <si>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</si>
  <si>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</si>
  <si>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</si>
  <si>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</si>
  <si>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</si>
  <si>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</si>
  <si>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</si>
  <si>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</si>
  <si>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</si>
  <si>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</si>
  <si>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</si>
  <si>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</si>
  <si>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</si>
  <si>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</si>
  <si>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</si>
  <si>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</si>
  <si>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</si>
  <si>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</si>
  <si>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</si>
  <si>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</si>
  <si>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</si>
  <si>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</si>
  <si>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</si>
  <si>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</si>
  <si>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</si>
  <si>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</si>
  <si>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</si>
  <si>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</si>
  <si>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</si>
  <si>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</si>
  <si>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</si>
  <si>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</si>
  <si>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</si>
  <si>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</si>
  <si>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</si>
  <si>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</si>
  <si>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</si>
  <si>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</si>
  <si>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</si>
  <si>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</si>
  <si>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</si>
  <si>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</si>
  <si>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</si>
  <si>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</si>
  <si>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</si>
  <si>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</si>
  <si>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</si>
  <si>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</si>
  <si>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</si>
  <si>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</si>
  <si>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</si>
  <si>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</si>
  <si>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</si>
  <si>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</si>
  <si>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</si>
  <si>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</si>
  <si>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</si>
  <si>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</si>
  <si>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</si>
  <si>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</si>
  <si>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</si>
  <si>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</si>
  <si>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</si>
  <si>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</si>
  <si>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</si>
  <si>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</si>
  <si>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</si>
  <si>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</si>
  <si>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</si>
  <si>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</si>
  <si>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</si>
  <si>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</si>
  <si>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</si>
  <si>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</si>
  <si>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</si>
  <si>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</si>
  <si>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</si>
  <si>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</si>
  <si>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</si>
  <si>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</si>
  <si>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</si>
  <si>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</si>
  <si>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</si>
  <si>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</si>
  <si>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</si>
  <si>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</si>
  <si>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</si>
  <si>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</si>
  <si>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</si>
  <si>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</si>
  <si>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</si>
  <si>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</si>
  <si>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</si>
  <si>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</si>
  <si>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</si>
  <si>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</si>
  <si>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</si>
  <si>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</si>
  <si>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</si>
  <si>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</si>
  <si>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</si>
  <si>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</si>
  <si>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</si>
  <si>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</si>
  <si>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</si>
  <si>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</si>
  <si>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</si>
  <si>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</si>
  <si>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</si>
  <si>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</si>
  <si>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</si>
  <si>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</si>
  <si>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</si>
  <si>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</si>
  <si>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</si>
  <si>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</si>
  <si>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</si>
  <si>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</si>
  <si>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</si>
  <si>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</si>
  <si>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</si>
  <si>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</si>
  <si>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</si>
  <si>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</si>
  <si>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</si>
  <si>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</si>
  <si>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</si>
  <si>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</si>
  <si>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</si>
  <si>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</si>
  <si>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</si>
  <si>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</si>
  <si>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</si>
  <si>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</si>
  <si>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</si>
  <si>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</si>
  <si>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</si>
  <si>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</si>
  <si>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</si>
  <si>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</si>
  <si>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</si>
  <si>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</si>
  <si>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</si>
  <si>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</si>
  <si>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</si>
  <si>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</si>
  <si>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</si>
  <si>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</si>
  <si>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</si>
  <si>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</si>
  <si>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</si>
  <si>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</si>
  <si>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</si>
  <si>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</si>
  <si>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</si>
  <si>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</si>
  <si>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</si>
  <si>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</si>
  <si>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</si>
  <si>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</si>
  <si>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</si>
  <si>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</si>
  <si>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</si>
  <si>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</si>
  <si>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</si>
  <si>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</si>
  <si>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</si>
  <si>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</si>
  <si>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</si>
  <si>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</si>
  <si>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</si>
  <si>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</si>
  <si>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</si>
  <si>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</si>
  <si>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</si>
  <si>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</si>
  <si>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</si>
  <si>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</si>
  <si>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</si>
  <si>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</si>
  <si>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</si>
  <si>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</si>
  <si>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</si>
  <si>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</si>
  <si>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</si>
  <si>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</si>
  <si>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</si>
  <si>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</si>
  <si>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</si>
  <si>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</si>
  <si>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</si>
  <si>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</si>
  <si>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</si>
  <si>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</si>
  <si>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</si>
  <si>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</si>
  <si>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</si>
  <si>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</si>
  <si>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</si>
  <si>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</si>
  <si>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</si>
  <si>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</si>
  <si>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</si>
  <si>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</si>
  <si>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</si>
  <si>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</si>
  <si>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</si>
  <si>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</si>
  <si>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</si>
  <si>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</si>
  <si>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</si>
  <si>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</si>
  <si>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</si>
  <si>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</si>
  <si>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</si>
  <si>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</si>
  <si>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</si>
  <si>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</si>
  <si>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</si>
  <si>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</si>
  <si>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</si>
  <si>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</si>
  <si>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</si>
  <si>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</si>
  <si>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</si>
  <si>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</si>
  <si>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</si>
  <si>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</si>
  <si>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</si>
  <si>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</si>
  <si>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</si>
  <si>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</si>
  <si>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</si>
  <si>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</si>
  <si>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</si>
  <si>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</si>
  <si>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</si>
  <si>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</si>
  <si>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Yes</t>
  </si>
  <si>
    <t>Part L2 - approved DSM</t>
  </si>
  <si>
    <t>CIBSE TM54</t>
  </si>
  <si>
    <t>yes</t>
  </si>
  <si>
    <t>London Borough of Camden</t>
  </si>
  <si>
    <t>N</t>
  </si>
  <si>
    <t>Y</t>
  </si>
  <si>
    <t>N/A - Not residential</t>
  </si>
  <si>
    <t>N/A - Not residential - G Value for commercial</t>
  </si>
  <si>
    <t>Refer to Energy Strategy - Section 4.1</t>
  </si>
  <si>
    <t xml:space="preserve">Refer to MEP Strategy </t>
  </si>
  <si>
    <t>Approx</t>
  </si>
  <si>
    <t xml:space="preserve"> </t>
  </si>
  <si>
    <t>communal system (building level)</t>
  </si>
  <si>
    <t>3.6 &amp; 4.19</t>
  </si>
  <si>
    <t>Air &amp; Water</t>
  </si>
  <si>
    <t>260kW</t>
  </si>
  <si>
    <t>N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</si>
</sst>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37.598405</c:v>
                </c:pt>
                <c:pt idx="2">
                  <c:v>37.598405</c:v>
                </c:pt>
                <c:pt idx="3">
                  <c:v>29.337347000000001</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7.7315030000000036</c:v>
                </c:pt>
                <c:pt idx="2">
                  <c:v>0</c:v>
                </c:pt>
                <c:pt idx="3">
                  <c:v>8.2610579999999985</c:v>
                </c:pt>
                <c:pt idx="4">
                  <c:v>29.337347000000001</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45.329908000000003</c:v>
                </c:pt>
                <c:pt idx="1">
                  <c:v>45.329908000000003</c:v>
                </c:pt>
                <c:pt idx="2">
                  <c:v>45.329908000000003</c:v>
                </c:pt>
                <c:pt idx="3">
                  <c:v>45.329908000000003</c:v>
                </c:pt>
                <c:pt idx="4">
                  <c:v>45.329908000000003</c:v>
                </c:pt>
                <c:pt idx="5">
                  <c:v>45.329908000000003</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29.464440200000002</c:v>
                </c:pt>
                <c:pt idx="1">
                  <c:v>29.464440200000002</c:v>
                </c:pt>
                <c:pt idx="2">
                  <c:v>29.464440200000002</c:v>
                </c:pt>
                <c:pt idx="3">
                  <c:v>29.464440200000002</c:v>
                </c:pt>
                <c:pt idx="4">
                  <c:v>29.464440200000002</c:v>
                </c:pt>
                <c:pt idx="5">
                  <c:v>29.464440200000002</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zoomScaleNormal="100" workbookViewId="0">
      <selection activeCell="D58" sqref="D58"/>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t="s">
        <v>263</v>
      </c>
    </row>
    <row r="3" spans="1:6" ht="37.5" customHeight="1">
      <c r="A3" s="255" t="s">
        <v>161</v>
      </c>
      <c r="B3" s="255"/>
      <c r="C3" s="201" t="s">
        <v>263</v>
      </c>
    </row>
    <row r="4" spans="1:6" ht="37.5" customHeight="1">
      <c r="A4" s="255" t="s">
        <v>162</v>
      </c>
      <c r="B4" s="255"/>
      <c r="C4" s="201" t="s">
        <v>263</v>
      </c>
    </row>
    <row r="5" spans="1:6" ht="61.5" customHeight="1">
      <c r="A5" s="255" t="s">
        <v>163</v>
      </c>
      <c r="B5" s="255"/>
      <c r="C5" s="201" t="s">
        <v>263</v>
      </c>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t="s">
        <v>264</v>
      </c>
      <c r="E9" s="208"/>
    </row>
    <row r="10" spans="1:6" ht="48">
      <c r="A10" s="249"/>
      <c r="B10" s="207" t="s">
        <v>4</v>
      </c>
      <c r="C10" s="207" t="s">
        <v>169</v>
      </c>
      <c r="D10" s="224">
        <v>95</v>
      </c>
      <c r="E10" s="208"/>
    </row>
    <row r="11" spans="1:6" ht="24">
      <c r="A11" s="249"/>
      <c r="B11" s="207" t="s">
        <v>170</v>
      </c>
      <c r="C11" s="207"/>
      <c r="D11" s="208" t="s">
        <v>265</v>
      </c>
      <c r="E11" s="208"/>
      <c r="F11" s="209"/>
    </row>
    <row r="12" spans="1:6" ht="25.5" customHeight="1">
      <c r="A12" s="249"/>
      <c r="B12" s="207" t="s">
        <v>171</v>
      </c>
      <c r="C12" s="207"/>
      <c r="D12" s="225"/>
      <c r="E12" s="208" t="s">
        <v>267</v>
      </c>
    </row>
    <row r="13" spans="1:6" ht="25.5" customHeight="1">
      <c r="A13" s="249"/>
      <c r="B13" s="207" t="s">
        <v>172</v>
      </c>
      <c r="C13" s="207"/>
      <c r="D13" s="224">
        <f>'Part L Outputs'!D63</f>
        <v>10591.1</v>
      </c>
      <c r="E13" s="208"/>
    </row>
    <row r="14" spans="1:6" ht="24">
      <c r="A14" s="246" t="s">
        <v>173</v>
      </c>
      <c r="B14" s="207" t="s">
        <v>174</v>
      </c>
      <c r="C14" s="207"/>
      <c r="D14" s="208"/>
      <c r="E14" s="208" t="s">
        <v>267</v>
      </c>
    </row>
    <row r="15" spans="1:6" ht="24">
      <c r="A15" s="247"/>
      <c r="B15" s="207" t="s">
        <v>175</v>
      </c>
      <c r="C15" s="207"/>
      <c r="D15" s="208" t="s">
        <v>266</v>
      </c>
      <c r="E15" s="208"/>
    </row>
    <row r="16" spans="1:6" ht="24">
      <c r="A16" s="247"/>
      <c r="B16" s="207" t="s">
        <v>176</v>
      </c>
      <c r="C16" s="207"/>
      <c r="D16" s="208" t="s">
        <v>266</v>
      </c>
      <c r="E16" s="208"/>
    </row>
    <row r="17" spans="1:6" ht="24">
      <c r="A17" s="247"/>
      <c r="B17" s="207" t="s">
        <v>177</v>
      </c>
      <c r="C17" s="207"/>
      <c r="D17" s="208" t="s">
        <v>266</v>
      </c>
      <c r="E17" s="208"/>
    </row>
    <row r="18" spans="1:6" ht="14.65" customHeight="1">
      <c r="A18" s="247"/>
      <c r="B18" s="207" t="s">
        <v>178</v>
      </c>
      <c r="C18" s="207"/>
      <c r="D18" s="224">
        <v>0.31</v>
      </c>
      <c r="E18" s="208" t="s">
        <v>268</v>
      </c>
    </row>
    <row r="19" spans="1:6" ht="14.65" customHeight="1">
      <c r="A19" s="247"/>
      <c r="B19" s="207" t="s">
        <v>179</v>
      </c>
      <c r="C19" s="207"/>
      <c r="D19" s="224">
        <v>31.92</v>
      </c>
      <c r="E19" s="208"/>
    </row>
    <row r="20" spans="1:6" ht="14.65" customHeight="1">
      <c r="A20" s="248"/>
      <c r="B20" s="207" t="s">
        <v>180</v>
      </c>
      <c r="C20" s="207"/>
      <c r="D20" s="208" t="s">
        <v>266</v>
      </c>
      <c r="E20" s="208"/>
    </row>
    <row r="21" spans="1:6" ht="14.65" customHeight="1">
      <c r="A21" s="246" t="s">
        <v>181</v>
      </c>
      <c r="B21" s="210" t="s">
        <v>182</v>
      </c>
      <c r="C21" s="210"/>
      <c r="D21" s="208"/>
      <c r="E21" s="208" t="s">
        <v>267</v>
      </c>
    </row>
    <row r="22" spans="1:6" ht="24">
      <c r="A22" s="247"/>
      <c r="B22" s="210" t="s">
        <v>183</v>
      </c>
      <c r="C22" s="210"/>
      <c r="D22" s="208" t="s">
        <v>266</v>
      </c>
      <c r="E22" s="208"/>
    </row>
    <row r="23" spans="1:6" ht="14.65" customHeight="1">
      <c r="A23" s="247"/>
      <c r="B23" s="210" t="s">
        <v>184</v>
      </c>
      <c r="C23" s="210"/>
      <c r="D23" s="208" t="s">
        <v>265</v>
      </c>
      <c r="E23" s="208"/>
      <c r="F23" s="211"/>
    </row>
    <row r="24" spans="1:6" ht="14.65" customHeight="1">
      <c r="A24" s="248"/>
      <c r="B24" s="210" t="s">
        <v>185</v>
      </c>
      <c r="C24" s="210"/>
      <c r="D24" s="208" t="s">
        <v>266</v>
      </c>
      <c r="E24" s="208"/>
      <c r="F24" s="211"/>
    </row>
    <row r="25" spans="1:6" ht="24">
      <c r="A25" s="246" t="s">
        <v>186</v>
      </c>
      <c r="B25" s="207" t="s">
        <v>187</v>
      </c>
      <c r="C25" s="207"/>
      <c r="D25" s="208" t="s">
        <v>265</v>
      </c>
      <c r="E25" s="208"/>
    </row>
    <row r="26" spans="1:6">
      <c r="A26" s="247"/>
      <c r="B26" s="207" t="s">
        <v>188</v>
      </c>
      <c r="C26" s="207"/>
      <c r="D26" s="208" t="s">
        <v>265</v>
      </c>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t="s">
        <v>265</v>
      </c>
      <c r="E29" s="208"/>
    </row>
    <row r="30" spans="1:6" ht="24">
      <c r="A30" s="246" t="s">
        <v>193</v>
      </c>
      <c r="B30" s="207" t="s">
        <v>194</v>
      </c>
      <c r="C30" s="207" t="s">
        <v>195</v>
      </c>
      <c r="D30" s="208" t="s">
        <v>266</v>
      </c>
      <c r="E30" s="208" t="s">
        <v>269</v>
      </c>
      <c r="F30" s="212"/>
    </row>
    <row r="31" spans="1:6" ht="60">
      <c r="A31" s="247"/>
      <c r="B31" s="207" t="s">
        <v>196</v>
      </c>
      <c r="C31" s="207" t="s">
        <v>257</v>
      </c>
      <c r="D31" s="208" t="s">
        <v>266</v>
      </c>
      <c r="E31" s="208" t="s">
        <v>270</v>
      </c>
    </row>
    <row r="32" spans="1:6">
      <c r="A32" s="247"/>
      <c r="B32" s="207" t="s">
        <v>197</v>
      </c>
      <c r="C32" s="207"/>
      <c r="D32" s="208" t="s">
        <v>273</v>
      </c>
      <c r="E32" s="208"/>
    </row>
    <row r="33" spans="1:5">
      <c r="A33" s="247"/>
      <c r="B33" s="213" t="s">
        <v>198</v>
      </c>
      <c r="C33" s="207"/>
      <c r="D33" s="224">
        <v>45</v>
      </c>
      <c r="E33" s="208"/>
    </row>
    <row r="34" spans="1:5">
      <c r="A34" s="247"/>
      <c r="B34" s="213" t="s">
        <v>199</v>
      </c>
      <c r="C34" s="207"/>
      <c r="D34" s="224">
        <v>40</v>
      </c>
      <c r="E34" s="208"/>
    </row>
    <row r="35" spans="1:5">
      <c r="A35" s="248"/>
      <c r="B35" s="207" t="s">
        <v>200</v>
      </c>
      <c r="C35" s="207" t="s">
        <v>201</v>
      </c>
      <c r="D35" s="224" t="s">
        <v>276</v>
      </c>
      <c r="E35" s="208" t="s">
        <v>277</v>
      </c>
    </row>
    <row r="36" spans="1:5">
      <c r="A36" s="246" t="s">
        <v>202</v>
      </c>
      <c r="B36" s="207" t="s">
        <v>203</v>
      </c>
      <c r="C36" s="207"/>
      <c r="D36" s="208" t="s">
        <v>265</v>
      </c>
      <c r="E36" s="208"/>
    </row>
    <row r="37" spans="1:5">
      <c r="A37" s="247"/>
      <c r="B37" s="207" t="s">
        <v>204</v>
      </c>
      <c r="C37" s="207"/>
      <c r="D37" s="226" t="s">
        <v>275</v>
      </c>
      <c r="E37" s="208"/>
    </row>
    <row r="38" spans="1:5">
      <c r="A38" s="247"/>
      <c r="B38" s="207" t="s">
        <v>205</v>
      </c>
      <c r="C38" s="207"/>
      <c r="D38" s="224"/>
      <c r="E38" s="208"/>
    </row>
    <row r="39" spans="1:5">
      <c r="A39" s="247"/>
      <c r="B39" s="207" t="s">
        <v>206</v>
      </c>
      <c r="C39" s="207"/>
      <c r="D39" s="224" t="s">
        <v>274</v>
      </c>
      <c r="E39" s="208"/>
    </row>
    <row r="40" spans="1:5" ht="36">
      <c r="A40" s="247"/>
      <c r="B40" s="207" t="s">
        <v>207</v>
      </c>
      <c r="C40" s="207" t="s">
        <v>208</v>
      </c>
      <c r="D40" s="208" t="s">
        <v>266</v>
      </c>
      <c r="E40" s="208"/>
    </row>
    <row r="41" spans="1:5" ht="24">
      <c r="A41" s="247"/>
      <c r="B41" s="207" t="s">
        <v>209</v>
      </c>
      <c r="C41" s="207"/>
      <c r="D41" s="224"/>
      <c r="E41" s="208"/>
    </row>
    <row r="42" spans="1:5" ht="60">
      <c r="A42" s="247"/>
      <c r="B42" s="207" t="s">
        <v>210</v>
      </c>
      <c r="C42" s="213" t="s">
        <v>211</v>
      </c>
      <c r="D42" s="208" t="s">
        <v>265</v>
      </c>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t="s">
        <v>266</v>
      </c>
      <c r="E45" s="208"/>
    </row>
    <row r="46" spans="1:5">
      <c r="A46" s="249" t="s">
        <v>216</v>
      </c>
      <c r="B46" s="207" t="s">
        <v>217</v>
      </c>
      <c r="C46" s="207"/>
      <c r="D46" s="208" t="s">
        <v>266</v>
      </c>
      <c r="E46" s="208"/>
    </row>
    <row r="47" spans="1:5" ht="36">
      <c r="A47" s="249"/>
      <c r="B47" s="207" t="s">
        <v>218</v>
      </c>
      <c r="C47" s="207"/>
      <c r="D47" s="208" t="s">
        <v>266</v>
      </c>
      <c r="E47" s="208"/>
    </row>
    <row r="48" spans="1:5">
      <c r="A48" s="249"/>
      <c r="B48" s="207" t="s">
        <v>219</v>
      </c>
      <c r="C48" s="207"/>
      <c r="D48" s="224">
        <v>41000</v>
      </c>
      <c r="E48" s="208"/>
    </row>
    <row r="49" spans="1:5">
      <c r="A49" s="249"/>
      <c r="B49" s="207" t="s">
        <v>220</v>
      </c>
      <c r="C49" s="207"/>
      <c r="D49" s="224">
        <v>42.35</v>
      </c>
      <c r="E49" s="208"/>
    </row>
    <row r="50" spans="1:5" ht="13.5">
      <c r="A50" s="249"/>
      <c r="B50" s="207" t="s">
        <v>221</v>
      </c>
      <c r="C50" s="207"/>
      <c r="D50" s="224">
        <f>77*(2.2*1.28)</f>
        <v>216.83200000000002</v>
      </c>
      <c r="E50" s="208" t="s">
        <v>271</v>
      </c>
    </row>
    <row r="51" spans="1:5">
      <c r="A51" s="249"/>
      <c r="B51" s="207" t="s">
        <v>222</v>
      </c>
      <c r="C51" s="207"/>
      <c r="D51" s="208" t="s">
        <v>265</v>
      </c>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t="s">
        <v>265</v>
      </c>
      <c r="E60" s="208"/>
    </row>
    <row r="61" spans="1:5" ht="20.25" customHeight="1">
      <c r="A61" s="247"/>
      <c r="B61" s="207" t="s">
        <v>238</v>
      </c>
      <c r="C61" s="207"/>
      <c r="D61" s="208" t="s">
        <v>266</v>
      </c>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42" zoomScaleNormal="100" workbookViewId="0">
      <selection activeCell="C63" sqref="C6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v>1</v>
      </c>
      <c r="B63" s="110">
        <v>10591.1</v>
      </c>
      <c r="C63" s="110">
        <v>1</v>
      </c>
      <c r="D63" s="110">
        <f>C63*B63</f>
        <v>10591.1</v>
      </c>
      <c r="E63" s="164">
        <v>4.28</v>
      </c>
      <c r="F63" s="165">
        <v>0</v>
      </c>
      <c r="G63" s="182">
        <v>3.55</v>
      </c>
      <c r="H63" s="171">
        <v>3.55</v>
      </c>
      <c r="I63" s="171">
        <v>2.77</v>
      </c>
      <c r="J63" s="13"/>
      <c r="K63" s="119"/>
      <c r="L63" s="107">
        <f t="shared" ref="L63:L93" si="16">IF($E63=0,"",$E63*$D63)</f>
        <v>45329.908000000003</v>
      </c>
      <c r="M63" s="121">
        <f t="shared" ref="M63:M93" si="17">IF($E63=0,"",F63*D63*Average_notional_PV_CO2_factor)</f>
        <v>0</v>
      </c>
      <c r="N63" s="121">
        <f t="shared" ref="N63:N93" si="18">IF($G63=0,"",$G63*$D63)</f>
        <v>37598.404999999999</v>
      </c>
      <c r="O63" s="107">
        <f>IF($G63=0,"",$N63+$M63)</f>
        <v>37598.404999999999</v>
      </c>
      <c r="P63" s="108">
        <f>IF($G63=0,"",$L63-O63)</f>
        <v>7731.5030000000042</v>
      </c>
      <c r="Q63" s="107">
        <f t="shared" ref="Q63:Q93" si="19">IF($H63=0,"",$H63*$D63)</f>
        <v>37598.404999999999</v>
      </c>
      <c r="R63" s="107">
        <f>IF($H63=0,"",$Q63+$M63)</f>
        <v>37598.404999999999</v>
      </c>
      <c r="S63" s="108">
        <f>IF($H63=0,"",$R63-$O63)</f>
        <v>0</v>
      </c>
      <c r="T63" s="107">
        <f>IF($I63=0,"",$I63*$D63)</f>
        <v>29337.347000000002</v>
      </c>
      <c r="U63" s="178">
        <f>IF($H63=0,"",$R63-$T63)</f>
        <v>8261.0579999999973</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10591.1</v>
      </c>
      <c r="E94" s="152">
        <f>IFERROR(SUMPRODUCT($D$63:$D$93,E63:E93)/$D$94,0)</f>
        <v>4.28</v>
      </c>
      <c r="F94" s="184">
        <f t="shared" ref="F94:I94" si="26">IFERROR(SUMPRODUCT($D$63:$D$93,F63:F93)/$D$94,0)</f>
        <v>0</v>
      </c>
      <c r="G94" s="152">
        <f t="shared" si="26"/>
        <v>3.55</v>
      </c>
      <c r="H94" s="152">
        <f t="shared" si="26"/>
        <v>3.55</v>
      </c>
      <c r="I94" s="152">
        <f t="shared" si="26"/>
        <v>2.77</v>
      </c>
      <c r="J94" s="13"/>
      <c r="K94" s="119"/>
      <c r="L94" s="153">
        <f>SUM(L63:L93)</f>
        <v>45329.908000000003</v>
      </c>
      <c r="M94" s="153">
        <f t="shared" ref="M94:T94" si="27">SUM(M63:M93)</f>
        <v>0</v>
      </c>
      <c r="N94" s="153">
        <f t="shared" si="27"/>
        <v>37598.404999999999</v>
      </c>
      <c r="O94" s="153">
        <f t="shared" si="27"/>
        <v>37598.404999999999</v>
      </c>
      <c r="P94" s="153">
        <f t="shared" si="27"/>
        <v>7731.5030000000042</v>
      </c>
      <c r="Q94" s="153">
        <f t="shared" si="27"/>
        <v>37598.404999999999</v>
      </c>
      <c r="R94" s="153">
        <f t="shared" si="27"/>
        <v>37598.404999999999</v>
      </c>
      <c r="S94" s="153">
        <f t="shared" si="27"/>
        <v>0</v>
      </c>
      <c r="T94" s="153">
        <f t="shared" si="27"/>
        <v>29337.347000000002</v>
      </c>
      <c r="U94" s="179">
        <f t="shared" ref="U94" si="28">SUM(U63:U93)</f>
        <v>8261.0579999999973</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10591.1</v>
      </c>
      <c r="E96" s="155" t="s">
        <v>22</v>
      </c>
      <c r="F96" s="155" t="s">
        <v>22</v>
      </c>
      <c r="G96" s="155" t="s">
        <v>22</v>
      </c>
      <c r="H96" s="155" t="s">
        <v>22</v>
      </c>
      <c r="I96" s="155" t="s">
        <v>22</v>
      </c>
      <c r="J96" s="122"/>
      <c r="K96" s="123"/>
      <c r="L96" s="156">
        <f>L58+L94</f>
        <v>45329.908000000003</v>
      </c>
      <c r="M96" s="156">
        <f t="shared" ref="M96:T96" si="29">M58+M94</f>
        <v>0</v>
      </c>
      <c r="N96" s="156">
        <f t="shared" si="29"/>
        <v>37598.404999999999</v>
      </c>
      <c r="O96" s="156">
        <f t="shared" si="29"/>
        <v>37598.404999999999</v>
      </c>
      <c r="P96" s="156">
        <f t="shared" si="29"/>
        <v>7731.5030000000042</v>
      </c>
      <c r="Q96" s="156">
        <f t="shared" si="29"/>
        <v>37598.404999999999</v>
      </c>
      <c r="R96" s="156">
        <f t="shared" si="29"/>
        <v>37598.404999999999</v>
      </c>
      <c r="S96" s="156">
        <f t="shared" ref="S96" si="30">S58+S94</f>
        <v>0</v>
      </c>
      <c r="T96" s="156">
        <f t="shared" si="29"/>
        <v>29337.347000000002</v>
      </c>
      <c r="U96" s="181">
        <f>U58+U94</f>
        <v>8261.0579999999973</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A5" zoomScaleNormal="100" workbookViewId="0">
      <selection activeCell="I16" sqref="I16"/>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59</v>
      </c>
      <c r="B13" s="75">
        <v>11852</v>
      </c>
      <c r="C13" s="75">
        <v>27168.32</v>
      </c>
      <c r="D13" s="75">
        <v>601715.01</v>
      </c>
      <c r="E13" s="75">
        <v>0</v>
      </c>
      <c r="F13" s="75">
        <v>0</v>
      </c>
      <c r="G13" s="75">
        <v>0</v>
      </c>
      <c r="H13" s="75">
        <v>0</v>
      </c>
      <c r="I13" s="75">
        <v>0</v>
      </c>
      <c r="J13" s="75">
        <v>40881</v>
      </c>
      <c r="K13" s="75"/>
      <c r="L13" s="76" t="s">
        <v>260</v>
      </c>
      <c r="M13" s="76" t="s">
        <v>260</v>
      </c>
      <c r="N13" s="96">
        <f>IF('EUI &amp; space heating demand'!B13="","",SUM('EUI &amp; space heating demand'!$D13:$K13)/'EUI &amp; space heating demand'!B13)</f>
        <v>54.218360614242322</v>
      </c>
      <c r="O13" s="96">
        <f>IF('EUI &amp; space heating demand'!B13="","",'EUI &amp; space heating demand'!C13/'EUI &amp; space heating demand'!B13)</f>
        <v>2.2922983462706714</v>
      </c>
      <c r="P13" s="96">
        <f>IF('EUI &amp; space heating demand'!B13="","", VLOOKUP(A13,Tables!$A$24:$C$27,2))</f>
        <v>55</v>
      </c>
      <c r="Q13" s="96">
        <f>IF('EUI &amp; space heating demand'!B13="","", VLOOKUP(A13,Tables!$A$24:$C$27,3))</f>
        <v>15</v>
      </c>
      <c r="R13" s="77" t="s">
        <v>261</v>
      </c>
      <c r="S13" s="77" t="s">
        <v>262</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t="s">
        <v>272</v>
      </c>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11852</v>
      </c>
      <c r="C33" s="63">
        <f t="shared" ref="C33:K33" si="1">SUM(C13:C32)</f>
        <v>27168.32</v>
      </c>
      <c r="D33" s="63">
        <f t="shared" si="1"/>
        <v>601715.01</v>
      </c>
      <c r="E33" s="63">
        <f t="shared" si="1"/>
        <v>0</v>
      </c>
      <c r="F33" s="63">
        <f t="shared" si="1"/>
        <v>0</v>
      </c>
      <c r="G33" s="63">
        <f t="shared" si="1"/>
        <v>0</v>
      </c>
      <c r="H33" s="63">
        <f t="shared" si="1"/>
        <v>0</v>
      </c>
      <c r="I33" s="63">
        <f t="shared" si="1"/>
        <v>0</v>
      </c>
      <c r="J33" s="63">
        <f t="shared" si="1"/>
        <v>40881</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21" zoomScale="68" zoomScaleNormal="68" workbookViewId="0">
      <selection activeCell="S22" sqref="S22"/>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45.329908000000003</v>
      </c>
      <c r="J8" s="66">
        <v>52.319530332706556</v>
      </c>
      <c r="K8" s="81"/>
      <c r="L8" s="81"/>
      <c r="M8" s="90"/>
    </row>
    <row r="9" spans="1:13" s="27" customFormat="1" ht="45" customHeight="1">
      <c r="B9" s="24" t="s">
        <v>70</v>
      </c>
      <c r="C9" s="25">
        <f>'Part L Outputs'!O58/1000</f>
        <v>0</v>
      </c>
      <c r="D9" s="66"/>
      <c r="E9" s="54"/>
      <c r="F9" s="26"/>
      <c r="G9" s="54"/>
      <c r="H9" s="24" t="s">
        <v>70</v>
      </c>
      <c r="I9" s="25">
        <f>'Part L Outputs'!O94/1000</f>
        <v>37.598405</v>
      </c>
      <c r="J9" s="66">
        <v>47.743838539106562</v>
      </c>
      <c r="K9" s="81"/>
      <c r="L9" s="81"/>
      <c r="M9" s="90"/>
    </row>
    <row r="10" spans="1:13" s="27" customFormat="1" ht="45" customHeight="1">
      <c r="B10" s="24" t="s">
        <v>71</v>
      </c>
      <c r="C10" s="25">
        <f>'Part L Outputs'!R58/1000</f>
        <v>0</v>
      </c>
      <c r="D10" s="66"/>
      <c r="E10" s="54"/>
      <c r="F10" s="26"/>
      <c r="G10" s="54"/>
      <c r="H10" s="24" t="s">
        <v>71</v>
      </c>
      <c r="I10" s="25">
        <f>'Part L Outputs'!R94/1000</f>
        <v>37.598405</v>
      </c>
      <c r="J10" s="66">
        <v>47.743838539106562</v>
      </c>
      <c r="K10" s="81"/>
      <c r="L10" s="81"/>
      <c r="M10" s="90"/>
    </row>
    <row r="11" spans="1:13" s="27" customFormat="1" ht="45" customHeight="1">
      <c r="B11" s="24" t="s">
        <v>72</v>
      </c>
      <c r="C11" s="25">
        <f>'Part L Outputs'!T58/1000</f>
        <v>0</v>
      </c>
      <c r="D11" s="66"/>
      <c r="E11" s="185"/>
      <c r="F11" s="26"/>
      <c r="G11" s="54"/>
      <c r="H11" s="24" t="s">
        <v>72</v>
      </c>
      <c r="I11" s="25">
        <f>'Part L Outputs'!T94/1000</f>
        <v>29.337347000000001</v>
      </c>
      <c r="J11" s="66">
        <v>47.743838539106562</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7.7315030000000036</v>
      </c>
      <c r="J18" s="31">
        <f>IFERROR(I18/I8,0)</f>
        <v>0.17056074766355148</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8.2610579999999985</v>
      </c>
      <c r="J20" s="31">
        <f>IFERROR(I20/I8,0)</f>
        <v>0.18224299065420557</v>
      </c>
      <c r="K20" s="28"/>
      <c r="L20" s="28"/>
      <c r="M20" s="91"/>
    </row>
    <row r="21" spans="2:13" s="30" customFormat="1" ht="45" customHeight="1">
      <c r="B21" s="32" t="s">
        <v>82</v>
      </c>
      <c r="C21" s="33">
        <f>C8-C11</f>
        <v>0</v>
      </c>
      <c r="D21" s="34">
        <f>IFERROR(C21/C8,0)</f>
        <v>0</v>
      </c>
      <c r="E21" s="28"/>
      <c r="F21" s="29"/>
      <c r="G21" s="28"/>
      <c r="H21" s="32" t="s">
        <v>83</v>
      </c>
      <c r="I21" s="33">
        <f>I8-I11</f>
        <v>15.992561000000002</v>
      </c>
      <c r="J21" s="34">
        <f>IFERROR(I21/I8,0)</f>
        <v>0.35280373831775702</v>
      </c>
      <c r="K21" s="92"/>
      <c r="L21" s="28"/>
      <c r="M21" s="91"/>
    </row>
    <row r="22" spans="2:13" s="30" customFormat="1" ht="45" customHeight="1">
      <c r="B22" s="24" t="s">
        <v>84</v>
      </c>
      <c r="C22" s="25">
        <f>(C8-C21)</f>
        <v>0</v>
      </c>
      <c r="D22" s="35" t="s">
        <v>22</v>
      </c>
      <c r="E22" s="28"/>
      <c r="F22" s="29"/>
      <c r="G22" s="28"/>
      <c r="H22" s="24" t="s">
        <v>84</v>
      </c>
      <c r="I22" s="25">
        <f>(I8-I21)</f>
        <v>29.337347000000001</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880.12040999999999</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83611.438950000011</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45.329908000000003</v>
      </c>
      <c r="D61" s="41"/>
      <c r="E61" s="42"/>
      <c r="F61" s="56">
        <f>$C$61</f>
        <v>45.329908000000003</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37.598405</v>
      </c>
      <c r="D62" s="40">
        <f>C61-C62</f>
        <v>7.7315030000000036</v>
      </c>
      <c r="E62" s="44">
        <f>IFERROR(D62/C61,0)</f>
        <v>0.17056074766355148</v>
      </c>
      <c r="F62" s="56">
        <f>$C$61</f>
        <v>45.329908000000003</v>
      </c>
      <c r="G62" s="56"/>
      <c r="H62" s="28"/>
      <c r="I62" s="73"/>
      <c r="J62" s="73"/>
      <c r="K62" s="28"/>
      <c r="L62" s="55"/>
      <c r="M62" s="91"/>
    </row>
    <row r="63" spans="1:13" s="30" customFormat="1" ht="40.15" customHeight="1">
      <c r="B63" s="43" t="s">
        <v>99</v>
      </c>
      <c r="C63" s="40">
        <f>'Part L Outputs'!R96/1000</f>
        <v>37.598405</v>
      </c>
      <c r="D63" s="40">
        <f>C62-C63</f>
        <v>0</v>
      </c>
      <c r="E63" s="44">
        <f>IFERROR(D63/C61,0)</f>
        <v>0</v>
      </c>
      <c r="F63" s="56">
        <f>$C$61</f>
        <v>45.329908000000003</v>
      </c>
      <c r="G63" s="56"/>
      <c r="H63" s="28"/>
      <c r="I63" s="73"/>
      <c r="J63" s="73"/>
      <c r="K63" s="28"/>
      <c r="L63" s="55"/>
      <c r="M63" s="91"/>
    </row>
    <row r="64" spans="1:13" s="30" customFormat="1" ht="66">
      <c r="B64" s="43" t="s">
        <v>100</v>
      </c>
      <c r="C64" s="40">
        <f>'Part L Outputs'!T96/1000</f>
        <v>29.337347000000001</v>
      </c>
      <c r="D64" s="40">
        <f>C63-C64</f>
        <v>8.2610579999999985</v>
      </c>
      <c r="E64" s="44">
        <f>IFERROR(D64/C61,0)</f>
        <v>0.18224299065420557</v>
      </c>
      <c r="F64" s="56">
        <f>$C$61</f>
        <v>45.329908000000003</v>
      </c>
      <c r="G64" s="56"/>
      <c r="H64" s="71"/>
      <c r="I64" s="71" t="s">
        <v>258</v>
      </c>
      <c r="J64" s="71" t="s">
        <v>158</v>
      </c>
      <c r="K64" s="28"/>
      <c r="L64" s="55"/>
      <c r="M64" s="91"/>
    </row>
    <row r="65" spans="1:14" s="30" customFormat="1" ht="40.15" customHeight="1">
      <c r="B65" s="43" t="s">
        <v>101</v>
      </c>
      <c r="C65" s="45" t="s">
        <v>22</v>
      </c>
      <c r="D65" s="40">
        <f>SUM(D62:D64)</f>
        <v>15.992561000000002</v>
      </c>
      <c r="E65" s="44">
        <f>IFERROR(D65/C61,0)</f>
        <v>0.35280373831775702</v>
      </c>
      <c r="F65" s="56">
        <f>$C$61</f>
        <v>45.329908000000003</v>
      </c>
      <c r="G65" s="56"/>
      <c r="H65" s="48" t="s">
        <v>102</v>
      </c>
      <c r="I65" s="67">
        <v>90.45</v>
      </c>
      <c r="J65" s="67">
        <f>I65*'EUI &amp; space heating demand'!$B$13</f>
        <v>1072013.4000000001</v>
      </c>
      <c r="K65" s="28"/>
      <c r="L65" s="55"/>
      <c r="M65" s="91"/>
    </row>
    <row r="66" spans="1:14" s="30" customFormat="1" ht="40.15" customHeight="1">
      <c r="B66" s="39"/>
      <c r="C66" s="45" t="s">
        <v>22</v>
      </c>
      <c r="D66" s="46" t="s">
        <v>103</v>
      </c>
      <c r="E66" s="44" t="s">
        <v>22</v>
      </c>
      <c r="F66" s="53"/>
      <c r="G66" s="53"/>
      <c r="H66" s="48" t="s">
        <v>104</v>
      </c>
      <c r="I66" s="67">
        <v>130.31</v>
      </c>
      <c r="J66" s="67">
        <f>I66*'EUI &amp; space heating demand'!$B$13</f>
        <v>1544434.12</v>
      </c>
      <c r="K66" s="28"/>
      <c r="L66" s="55"/>
      <c r="M66" s="91"/>
    </row>
    <row r="67" spans="1:14" s="30" customFormat="1" ht="40.15" customHeight="1">
      <c r="B67" s="39" t="s">
        <v>105</v>
      </c>
      <c r="C67" s="45" t="s">
        <v>22</v>
      </c>
      <c r="D67" s="47">
        <f>C24+I24</f>
        <v>880.12040999999999</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Office</v>
      </c>
      <c r="C75" s="191">
        <f>IF('EUI &amp; space heating demand'!B13="","",'EUI &amp; space heating demand'!N13)</f>
        <v>54.218360614242322</v>
      </c>
      <c r="D75" s="191">
        <f>IF('EUI &amp; space heating demand'!B13="","",'EUI &amp; space heating demand'!O13)</f>
        <v>2.2922983462706714</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approved DSM &amp; CIBSE TM54</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45.329908000000003</v>
      </c>
      <c r="E14" s="135">
        <f t="shared" ref="E14:E19" si="1">D14*0.65</f>
        <v>29.464440200000002</v>
      </c>
    </row>
    <row r="15" spans="1:5">
      <c r="A15" s="134" t="s">
        <v>98</v>
      </c>
      <c r="B15" s="136">
        <f>'GLA Summary Tables'!I9</f>
        <v>37.598405</v>
      </c>
      <c r="C15" s="136">
        <f>'GLA Summary Tables'!I18</f>
        <v>7.7315030000000036</v>
      </c>
      <c r="D15" s="135">
        <f>'GLA Summary Tables'!I$8</f>
        <v>45.329908000000003</v>
      </c>
      <c r="E15" s="135">
        <f t="shared" si="1"/>
        <v>29.464440200000002</v>
      </c>
    </row>
    <row r="16" spans="1:5">
      <c r="A16" s="134" t="s">
        <v>112</v>
      </c>
      <c r="B16" s="136">
        <f>'GLA Summary Tables'!I10</f>
        <v>37.598405</v>
      </c>
      <c r="C16" s="136">
        <f>'GLA Summary Tables'!I19</f>
        <v>0</v>
      </c>
      <c r="D16" s="135">
        <f>'GLA Summary Tables'!I$8</f>
        <v>45.329908000000003</v>
      </c>
      <c r="E16" s="135">
        <f t="shared" si="1"/>
        <v>29.464440200000002</v>
      </c>
    </row>
    <row r="17" spans="1:5">
      <c r="A17" s="134" t="s">
        <v>113</v>
      </c>
      <c r="B17" s="136">
        <f>'GLA Summary Tables'!I11</f>
        <v>29.337347000000001</v>
      </c>
      <c r="C17" s="136">
        <f>'GLA Summary Tables'!I20</f>
        <v>8.2610579999999985</v>
      </c>
      <c r="D17" s="135">
        <f>'GLA Summary Tables'!I$8</f>
        <v>45.329908000000003</v>
      </c>
      <c r="E17" s="135">
        <f t="shared" si="1"/>
        <v>29.464440200000002</v>
      </c>
    </row>
    <row r="18" spans="1:5">
      <c r="A18" s="134" t="s">
        <v>114</v>
      </c>
      <c r="B18" s="136">
        <v>0</v>
      </c>
      <c r="C18" s="136">
        <f>'GLA Summary Tables'!I22</f>
        <v>29.337347000000001</v>
      </c>
      <c r="D18" s="135">
        <f>'GLA Summary Tables'!I$8</f>
        <v>45.329908000000003</v>
      </c>
      <c r="E18" s="135">
        <f t="shared" si="1"/>
        <v>29.464440200000002</v>
      </c>
    </row>
    <row r="19" spans="1:5">
      <c r="A19" s="134"/>
      <c r="B19" s="133"/>
      <c r="C19" s="133"/>
      <c r="D19" s="135">
        <f>'GLA Summary Tables'!I$8</f>
        <v>45.329908000000003</v>
      </c>
      <c r="E19" s="135">
        <f t="shared" si="1"/>
        <v>29.464440200000002</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2024-03-06T12:00:33Z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