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66925"/>
  <xr:revisionPtr revIDLastSave="0" documentId="8_{5CDCFBF6-0AEA-4BB0-B241-77C1A12BFB0F}" xr6:coauthVersionLast="47" xr6:coauthVersionMax="47" xr10:uidLastSave="{00000000-0000-0000-0000-000000000000}"/>
  <bookViews>
    <workbookView xWindow="-28920" yWindow="-120" windowWidth="29040" windowHeight="17640"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 i="6" l="1"/>
  <c r="I65" i="6"/>
  <c r="C13" i="8"/>
  <c r="B13" i="8" l="1"/>
  <c r="D65" i="2"/>
  <c r="D64" i="2"/>
  <c r="D63" i="2"/>
  <c r="C25" i="6"/>
  <c r="B72" i="6"/>
  <c r="Q3" i="2"/>
  <c r="U61" i="2"/>
  <c r="S61" i="2"/>
  <c r="P61" i="2"/>
  <c r="U4" i="2"/>
  <c r="S4" i="2"/>
  <c r="P4" i="2"/>
  <c r="C11" i="6"/>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C76" i="6" s="1"/>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9" i="6"/>
  <c r="D80" i="6"/>
  <c r="D81" i="6"/>
  <c r="D83" i="6"/>
  <c r="D84" i="6"/>
  <c r="D85" i="6"/>
  <c r="D86" i="6"/>
  <c r="D87" i="6"/>
  <c r="D88" i="6"/>
  <c r="D89" i="6"/>
  <c r="D90" i="6"/>
  <c r="D91" i="6"/>
  <c r="D92" i="6"/>
  <c r="D93" i="6"/>
  <c r="D94"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D77" i="6" s="1"/>
  <c r="O16" i="8"/>
  <c r="D78" i="6" s="1"/>
  <c r="O17" i="8"/>
  <c r="O18" i="8"/>
  <c r="O19" i="8"/>
  <c r="O20" i="8"/>
  <c r="D82" i="6" s="1"/>
  <c r="O21" i="8"/>
  <c r="O22" i="8"/>
  <c r="O23" i="8"/>
  <c r="O24" i="8"/>
  <c r="O25" i="8"/>
  <c r="O27" i="8"/>
  <c r="O28" i="8"/>
  <c r="O29" i="8"/>
  <c r="O30" i="8"/>
  <c r="O31" i="8"/>
  <c r="O32" i="8"/>
  <c r="O13" i="8"/>
  <c r="D75" i="6" s="1"/>
  <c r="N15" i="8"/>
  <c r="C77" i="6" s="1"/>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<sst xmlns="http://schemas.openxmlformats.org/spreadsheetml/2006/main" count="439" uniqueCount="274">
  <si>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</si>
  <si>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</si>
  <si>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</si>
  <si>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</si>
  <si>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</si>
  <si>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</si>
  <si>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</si>
  <si>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</si>
  <si>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</si>
  <si>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</si>
  <si>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</si>
  <si>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</si>
  <si>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</si>
  <si>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</si>
  <si>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</si>
  <si>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</si>
  <si>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</si>
  <si>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</si>
  <si>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</si>
  <si>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</si>
  <si>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</si>
  <si>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</si>
  <si>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</si>
  <si>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</si>
  <si>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</si>
  <si>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</si>
  <si>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</si>
  <si>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</si>
  <si>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</si>
  <si>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</si>
  <si>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</si>
  <si>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</si>
  <si>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</si>
  <si>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</si>
  <si>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</si>
  <si>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</si>
  <si>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</si>
  <si>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</si>
  <si>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</si>
  <si>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</si>
  <si>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</si>
  <si>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</si>
  <si>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</si>
  <si>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</si>
  <si>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</si>
  <si>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</si>
  <si>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</si>
  <si>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</si>
  <si>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</si>
  <si>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</si>
  <si>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</si>
  <si>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</si>
  <si>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</si>
  <si>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</si>
  <si>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</si>
  <si>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</si>
  <si>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</si>
  <si>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</si>
  <si>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</si>
  <si>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</si>
  <si>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</si>
  <si>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</si>
  <si>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</si>
  <si>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</si>
  <si>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</si>
  <si>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</si>
  <si>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</si>
  <si>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</si>
  <si>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</si>
  <si>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</si>
  <si>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</si>
  <si>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</si>
  <si>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</si>
  <si>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</si>
  <si>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</si>
  <si>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</si>
  <si>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</si>
  <si>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</si>
  <si>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</si>
  <si>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</si>
  <si>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</si>
  <si>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</si>
  <si>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</si>
  <si>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</si>
  <si>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</si>
  <si>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</si>
  <si>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</si>
  <si>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</si>
  <si>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</si>
  <si>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</si>
  <si>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</si>
  <si>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</si>
  <si>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</si>
  <si>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</si>
  <si>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</si>
  <si>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</si>
  <si>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</si>
  <si>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</si>
  <si>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</si>
  <si>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</si>
  <si>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</si>
  <si>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</si>
  <si>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</si>
  <si>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</si>
  <si>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</si>
  <si>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</si>
  <si>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</si>
  <si>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</si>
  <si>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</si>
  <si>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</si>
  <si>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</si>
  <si>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</si>
  <si>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</si>
  <si>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</si>
  <si>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</si>
  <si>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</si>
  <si>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</si>
  <si>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</si>
  <si>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</si>
  <si>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</si>
  <si>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</si>
  <si>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</si>
  <si>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</si>
  <si>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</si>
  <si>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</si>
  <si>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</si>
  <si>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</si>
  <si>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</si>
  <si>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</si>
  <si>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</si>
  <si>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</si>
  <si>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</si>
  <si>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</si>
  <si>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</si>
  <si>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</si>
  <si>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</si>
  <si>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</si>
  <si>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</si>
  <si>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</si>
  <si>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</si>
  <si>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</si>
  <si>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</si>
  <si>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</si>
  <si>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</si>
  <si>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</si>
  <si>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</si>
  <si>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</si>
  <si>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</si>
  <si>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</si>
  <si>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</si>
  <si>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</si>
  <si>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</si>
  <si>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</si>
  <si>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</si>
  <si>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</si>
  <si>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</si>
  <si>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</si>
  <si>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</si>
  <si>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</si>
  <si>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</si>
  <si>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</si>
  <si>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</si>
  <si>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</si>
  <si>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</si>
  <si>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</si>
  <si>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</si>
  <si>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</si>
  <si>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</si>
  <si>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</si>
  <si>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</si>
  <si>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</si>
  <si>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</si>
  <si>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</si>
  <si>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</si>
  <si>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</si>
  <si>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</si>
  <si>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</si>
  <si>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</si>
  <si>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</si>
  <si>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</si>
  <si>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</si>
  <si>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</si>
  <si>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</si>
  <si>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</si>
  <si>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</si>
  <si>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</si>
  <si>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</si>
  <si>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</si>
  <si>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</si>
  <si>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</si>
  <si>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</si>
  <si>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</si>
  <si>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</si>
  <si>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</si>
  <si>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</si>
  <si>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</si>
  <si>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</si>
  <si>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</si>
  <si>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</si>
  <si>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</si>
  <si>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</si>
  <si>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</si>
  <si>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</si>
  <si>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</si>
  <si>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</si>
  <si>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</si>
  <si>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</si>
  <si>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</si>
  <si>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</si>
  <si>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</si>
  <si>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</si>
  <si>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</si>
  <si>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</si>
  <si>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</si>
  <si>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</si>
  <si>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</si>
  <si>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</si>
  <si>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</si>
  <si>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</si>
  <si>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</si>
  <si>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</si>
  <si>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</si>
  <si>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</si>
  <si>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</si>
  <si>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</si>
  <si>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</si>
  <si>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</si>
  <si>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</si>
  <si>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</si>
  <si>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</si>
  <si>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</si>
  <si>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</si>
  <si>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</si>
  <si>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</si>
  <si>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</si>
  <si>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</si>
  <si>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</si>
  <si>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</si>
  <si>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</si>
  <si>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</si>
  <si>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</si>
  <si>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</si>
  <si>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</si>
  <si>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</si>
  <si>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</si>
  <si>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</si>
  <si>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</si>
  <si>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</si>
  <si>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</si>
  <si>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</si>
  <si>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</si>
  <si>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</si>
  <si>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</si>
  <si>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</si>
  <si>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</si>
  <si>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</si>
  <si>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</si>
  <si>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</si>
  <si>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</si>
  <si>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</si>
  <si>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Tunnel</t>
  </si>
  <si>
    <t>Fulwood Place</t>
  </si>
  <si>
    <t>Furnival Street</t>
  </si>
  <si>
    <t>Y</t>
  </si>
  <si>
    <t>N</t>
  </si>
  <si>
    <t>N/A</t>
  </si>
  <si>
    <t>Citigen</t>
  </si>
  <si>
    <t>yes</t>
  </si>
  <si>
    <t>Yes</t>
  </si>
  <si>
    <t>Part L2 - approved DSM</t>
  </si>
  <si>
    <t>CIBSE TM54</t>
  </si>
  <si>
    <t>TBC at next stage</t>
  </si>
  <si>
    <t>2500l</t>
  </si>
  <si>
    <t>see Energy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</si>
</sst>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74.235241299999998</c:v>
                </c:pt>
                <c:pt idx="2">
                  <c:v>74.235241299999998</c:v>
                </c:pt>
                <c:pt idx="3">
                  <c:v>43.564421600000003</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30.670819699999996</c:v>
                </c:pt>
                <c:pt idx="4">
                  <c:v>43.564421600000003</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74.235241299999998</c:v>
                </c:pt>
                <c:pt idx="1">
                  <c:v>74.235241299999998</c:v>
                </c:pt>
                <c:pt idx="2">
                  <c:v>74.235241299999998</c:v>
                </c:pt>
                <c:pt idx="3">
                  <c:v>74.235241299999998</c:v>
                </c:pt>
                <c:pt idx="4">
                  <c:v>74.235241299999998</c:v>
                </c:pt>
                <c:pt idx="5">
                  <c:v>74.235241299999998</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48.252906844999998</c:v>
                </c:pt>
                <c:pt idx="1">
                  <c:v>48.252906844999998</c:v>
                </c:pt>
                <c:pt idx="2">
                  <c:v>48.252906844999998</c:v>
                </c:pt>
                <c:pt idx="3">
                  <c:v>48.252906844999998</c:v>
                </c:pt>
                <c:pt idx="4">
                  <c:v>48.252906844999998</c:v>
                </c:pt>
                <c:pt idx="5">
                  <c:v>48.252906844999998</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sponlinegbr.sharepoint.com/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abSelected="1" zoomScaleNormal="100" workbookViewId="0">
      <selection activeCell="A10" sqref="A10:L13"/>
    </sheetView>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D54" sqref="D54"/>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t="s">
        <v>267</v>
      </c>
    </row>
    <row r="3" spans="1:6" ht="37.5" customHeight="1">
      <c r="A3" s="255" t="s">
        <v>161</v>
      </c>
      <c r="B3" s="255"/>
      <c r="C3" s="201" t="s">
        <v>267</v>
      </c>
    </row>
    <row r="4" spans="1:6" ht="37.5" customHeight="1">
      <c r="A4" s="255" t="s">
        <v>162</v>
      </c>
      <c r="B4" s="255"/>
      <c r="C4" s="201" t="s">
        <v>267</v>
      </c>
    </row>
    <row r="5" spans="1:6" ht="61.5" customHeight="1">
      <c r="A5" s="255" t="s">
        <v>163</v>
      </c>
      <c r="B5" s="255"/>
      <c r="C5" s="201" t="s">
        <v>267</v>
      </c>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c r="E9" s="208"/>
    </row>
    <row r="10" spans="1:6" ht="48">
      <c r="A10" s="249"/>
      <c r="B10" s="207" t="s">
        <v>4</v>
      </c>
      <c r="C10" s="207" t="s">
        <v>169</v>
      </c>
      <c r="D10" s="224"/>
      <c r="E10" s="208"/>
    </row>
    <row r="11" spans="1:6" ht="24">
      <c r="A11" s="249"/>
      <c r="B11" s="207" t="s">
        <v>170</v>
      </c>
      <c r="C11" s="207"/>
      <c r="D11" s="208" t="s">
        <v>264</v>
      </c>
      <c r="E11" s="208"/>
      <c r="F11" s="209"/>
    </row>
    <row r="12" spans="1:6" ht="25.5" customHeight="1">
      <c r="A12" s="249"/>
      <c r="B12" s="207" t="s">
        <v>171</v>
      </c>
      <c r="C12" s="207"/>
      <c r="D12" s="225" t="s">
        <v>265</v>
      </c>
      <c r="E12" s="208"/>
    </row>
    <row r="13" spans="1:6" ht="25.5" customHeight="1">
      <c r="A13" s="249"/>
      <c r="B13" s="207" t="s">
        <v>172</v>
      </c>
      <c r="C13" s="207"/>
      <c r="D13" s="224">
        <v>8703.57</v>
      </c>
      <c r="E13" s="208"/>
    </row>
    <row r="14" spans="1:6" ht="24">
      <c r="A14" s="246" t="s">
        <v>173</v>
      </c>
      <c r="B14" s="207" t="s">
        <v>174</v>
      </c>
      <c r="C14" s="207"/>
      <c r="D14" s="208"/>
      <c r="E14" s="208"/>
    </row>
    <row r="15" spans="1:6" ht="24">
      <c r="A15" s="247"/>
      <c r="B15" s="207" t="s">
        <v>175</v>
      </c>
      <c r="C15" s="207"/>
      <c r="D15" s="208" t="s">
        <v>263</v>
      </c>
      <c r="E15" s="208"/>
    </row>
    <row r="16" spans="1:6" ht="24">
      <c r="A16" s="247"/>
      <c r="B16" s="207" t="s">
        <v>176</v>
      </c>
      <c r="C16" s="207"/>
      <c r="D16" s="208"/>
      <c r="E16" s="208"/>
    </row>
    <row r="17" spans="1:6" ht="24">
      <c r="A17" s="247"/>
      <c r="B17" s="207" t="s">
        <v>177</v>
      </c>
      <c r="C17" s="207"/>
      <c r="D17" s="208" t="s">
        <v>263</v>
      </c>
      <c r="E17" s="208"/>
    </row>
    <row r="18" spans="1:6" ht="14.65" customHeight="1">
      <c r="A18" s="247"/>
      <c r="B18" s="207" t="s">
        <v>178</v>
      </c>
      <c r="C18" s="207"/>
      <c r="D18" s="224"/>
      <c r="E18" s="208"/>
    </row>
    <row r="19" spans="1:6" ht="14.65" customHeight="1">
      <c r="A19" s="247"/>
      <c r="B19" s="207" t="s">
        <v>179</v>
      </c>
      <c r="C19" s="207"/>
      <c r="D19" s="224" t="s">
        <v>265</v>
      </c>
      <c r="E19" s="208"/>
    </row>
    <row r="20" spans="1:6" ht="14.65" customHeight="1">
      <c r="A20" s="248"/>
      <c r="B20" s="207" t="s">
        <v>180</v>
      </c>
      <c r="C20" s="207"/>
      <c r="D20" s="208" t="s">
        <v>264</v>
      </c>
      <c r="E20" s="208"/>
    </row>
    <row r="21" spans="1:6" ht="14.65" customHeight="1">
      <c r="A21" s="246" t="s">
        <v>181</v>
      </c>
      <c r="B21" s="210" t="s">
        <v>182</v>
      </c>
      <c r="C21" s="210"/>
      <c r="D21" s="208"/>
      <c r="E21" s="208"/>
    </row>
    <row r="22" spans="1:6" ht="24">
      <c r="A22" s="247"/>
      <c r="B22" s="210" t="s">
        <v>183</v>
      </c>
      <c r="C22" s="210"/>
      <c r="D22" s="208" t="s">
        <v>263</v>
      </c>
      <c r="E22" s="208"/>
    </row>
    <row r="23" spans="1:6" ht="14.65" customHeight="1">
      <c r="A23" s="247"/>
      <c r="B23" s="210" t="s">
        <v>184</v>
      </c>
      <c r="C23" s="210"/>
      <c r="D23" s="208" t="s">
        <v>263</v>
      </c>
      <c r="E23" s="208"/>
      <c r="F23" s="211"/>
    </row>
    <row r="24" spans="1:6" ht="14.65" customHeight="1">
      <c r="A24" s="248"/>
      <c r="B24" s="210" t="s">
        <v>185</v>
      </c>
      <c r="C24" s="210"/>
      <c r="D24" s="208" t="s">
        <v>263</v>
      </c>
      <c r="E24" s="208"/>
      <c r="F24" s="211"/>
    </row>
    <row r="25" spans="1:6" ht="24">
      <c r="A25" s="246" t="s">
        <v>186</v>
      </c>
      <c r="B25" s="207" t="s">
        <v>187</v>
      </c>
      <c r="C25" s="207"/>
      <c r="D25" s="208" t="s">
        <v>264</v>
      </c>
      <c r="E25" s="208"/>
    </row>
    <row r="26" spans="1:6">
      <c r="A26" s="247"/>
      <c r="B26" s="207" t="s">
        <v>188</v>
      </c>
      <c r="C26" s="207"/>
      <c r="D26" s="208" t="s">
        <v>264</v>
      </c>
      <c r="E26" s="208"/>
    </row>
    <row r="27" spans="1:6">
      <c r="A27" s="247"/>
      <c r="B27" s="207" t="s">
        <v>189</v>
      </c>
      <c r="C27" s="207"/>
      <c r="D27" s="208" t="s">
        <v>266</v>
      </c>
      <c r="E27" s="208"/>
    </row>
    <row r="28" spans="1:6" ht="13.5">
      <c r="A28" s="247"/>
      <c r="B28" s="207" t="s">
        <v>190</v>
      </c>
      <c r="C28" s="207"/>
      <c r="D28" s="224"/>
      <c r="E28" s="208"/>
    </row>
    <row r="29" spans="1:6" ht="48">
      <c r="A29" s="248"/>
      <c r="B29" s="207" t="s">
        <v>191</v>
      </c>
      <c r="C29" s="207" t="s">
        <v>192</v>
      </c>
      <c r="D29" s="208" t="s">
        <v>263</v>
      </c>
      <c r="E29" s="208"/>
    </row>
    <row r="30" spans="1:6" ht="24">
      <c r="A30" s="246" t="s">
        <v>193</v>
      </c>
      <c r="B30" s="207" t="s">
        <v>194</v>
      </c>
      <c r="C30" s="207" t="s">
        <v>195</v>
      </c>
      <c r="D30" s="208" t="s">
        <v>263</v>
      </c>
      <c r="E30" s="208"/>
      <c r="F30" s="212"/>
    </row>
    <row r="31" spans="1:6" ht="60">
      <c r="A31" s="247"/>
      <c r="B31" s="207" t="s">
        <v>196</v>
      </c>
      <c r="C31" s="207" t="s">
        <v>257</v>
      </c>
      <c r="D31" s="208" t="s">
        <v>263</v>
      </c>
      <c r="E31" s="208"/>
    </row>
    <row r="32" spans="1:6">
      <c r="A32" s="247"/>
      <c r="B32" s="207" t="s">
        <v>197</v>
      </c>
      <c r="C32" s="207"/>
      <c r="D32" s="208"/>
      <c r="E32" s="208"/>
    </row>
    <row r="33" spans="1:5">
      <c r="A33" s="247"/>
      <c r="B33" s="213" t="s">
        <v>198</v>
      </c>
      <c r="C33" s="207"/>
      <c r="D33" s="224"/>
      <c r="E33" s="208"/>
    </row>
    <row r="34" spans="1:5">
      <c r="A34" s="247"/>
      <c r="B34" s="213" t="s">
        <v>199</v>
      </c>
      <c r="C34" s="207"/>
      <c r="D34" s="224"/>
      <c r="E34" s="208"/>
    </row>
    <row r="35" spans="1:5">
      <c r="A35" s="248"/>
      <c r="B35" s="207" t="s">
        <v>200</v>
      </c>
      <c r="C35" s="207" t="s">
        <v>201</v>
      </c>
      <c r="D35" s="224"/>
      <c r="E35" s="208"/>
    </row>
    <row r="36" spans="1:5">
      <c r="A36" s="246" t="s">
        <v>202</v>
      </c>
      <c r="B36" s="207" t="s">
        <v>203</v>
      </c>
      <c r="C36" s="207"/>
      <c r="D36" s="208" t="s">
        <v>263</v>
      </c>
      <c r="E36" s="208"/>
    </row>
    <row r="37" spans="1:5">
      <c r="A37" s="247"/>
      <c r="B37" s="207" t="s">
        <v>204</v>
      </c>
      <c r="C37" s="207"/>
      <c r="D37" s="226"/>
      <c r="E37" s="208"/>
    </row>
    <row r="38" spans="1:5">
      <c r="A38" s="247"/>
      <c r="B38" s="207" t="s">
        <v>205</v>
      </c>
      <c r="C38" s="207"/>
      <c r="D38" s="224"/>
      <c r="E38" s="208"/>
    </row>
    <row r="39" spans="1:5">
      <c r="A39" s="247"/>
      <c r="B39" s="207" t="s">
        <v>206</v>
      </c>
      <c r="C39" s="207"/>
      <c r="D39" s="224">
        <v>3.2</v>
      </c>
      <c r="E39" s="208"/>
    </row>
    <row r="40" spans="1:5" ht="36">
      <c r="A40" s="247"/>
      <c r="B40" s="207" t="s">
        <v>207</v>
      </c>
      <c r="C40" s="207" t="s">
        <v>208</v>
      </c>
      <c r="D40" s="208"/>
      <c r="E40" s="208"/>
    </row>
    <row r="41" spans="1:5" ht="24">
      <c r="A41" s="247"/>
      <c r="B41" s="207" t="s">
        <v>209</v>
      </c>
      <c r="C41" s="207"/>
      <c r="D41" s="224"/>
      <c r="E41" s="208"/>
    </row>
    <row r="42" spans="1:5" ht="60">
      <c r="A42" s="247"/>
      <c r="B42" s="207" t="s">
        <v>210</v>
      </c>
      <c r="C42" s="213" t="s">
        <v>211</v>
      </c>
      <c r="D42" s="208" t="s">
        <v>264</v>
      </c>
      <c r="E42" s="208"/>
    </row>
    <row r="43" spans="1:5">
      <c r="A43" s="247"/>
      <c r="B43" s="207" t="s">
        <v>212</v>
      </c>
      <c r="C43" s="207"/>
      <c r="D43" s="224"/>
      <c r="E43" s="208"/>
    </row>
    <row r="44" spans="1:5">
      <c r="A44" s="247"/>
      <c r="B44" s="207" t="s">
        <v>213</v>
      </c>
      <c r="C44" s="207"/>
      <c r="D44" s="224"/>
      <c r="E44" s="208"/>
    </row>
    <row r="45" spans="1:5" ht="48">
      <c r="A45" s="248"/>
      <c r="B45" s="207" t="s">
        <v>214</v>
      </c>
      <c r="C45" s="207" t="s">
        <v>215</v>
      </c>
      <c r="D45" s="208"/>
      <c r="E45" s="208"/>
    </row>
    <row r="46" spans="1:5">
      <c r="A46" s="249" t="s">
        <v>216</v>
      </c>
      <c r="B46" s="207" t="s">
        <v>217</v>
      </c>
      <c r="C46" s="207"/>
      <c r="D46" s="208" t="s">
        <v>264</v>
      </c>
      <c r="E46" s="208"/>
    </row>
    <row r="47" spans="1:5" ht="36">
      <c r="A47" s="249"/>
      <c r="B47" s="207" t="s">
        <v>218</v>
      </c>
      <c r="C47" s="207"/>
      <c r="D47" s="208" t="s">
        <v>263</v>
      </c>
      <c r="E47" s="208"/>
    </row>
    <row r="48" spans="1:5">
      <c r="A48" s="249"/>
      <c r="B48" s="207" t="s">
        <v>219</v>
      </c>
      <c r="C48" s="207"/>
      <c r="D48" s="224"/>
      <c r="E48" s="208"/>
    </row>
    <row r="49" spans="1:5">
      <c r="A49" s="249"/>
      <c r="B49" s="207" t="s">
        <v>220</v>
      </c>
      <c r="C49" s="207"/>
      <c r="D49" s="224"/>
      <c r="E49" s="208"/>
    </row>
    <row r="50" spans="1:5" ht="13.5">
      <c r="A50" s="249"/>
      <c r="B50" s="207" t="s">
        <v>221</v>
      </c>
      <c r="C50" s="207"/>
      <c r="D50" s="224"/>
      <c r="E50" s="208"/>
    </row>
    <row r="51" spans="1:5">
      <c r="A51" s="249"/>
      <c r="B51" s="207" t="s">
        <v>222</v>
      </c>
      <c r="C51" s="207"/>
      <c r="D51" s="208"/>
      <c r="E51" s="208"/>
    </row>
    <row r="52" spans="1:5" ht="13.5">
      <c r="A52" s="249"/>
      <c r="B52" s="207" t="s">
        <v>223</v>
      </c>
      <c r="C52" s="207"/>
      <c r="D52" s="224"/>
      <c r="E52" s="208"/>
    </row>
    <row r="53" spans="1:5" ht="24">
      <c r="A53" s="246" t="s">
        <v>224</v>
      </c>
      <c r="B53" s="207" t="s">
        <v>225</v>
      </c>
      <c r="C53" s="207" t="s">
        <v>226</v>
      </c>
      <c r="D53" s="208" t="s">
        <v>271</v>
      </c>
      <c r="E53" s="208"/>
    </row>
    <row r="54" spans="1:5" ht="24">
      <c r="A54" s="247"/>
      <c r="B54" s="207" t="s">
        <v>227</v>
      </c>
      <c r="C54" s="207" t="s">
        <v>228</v>
      </c>
      <c r="D54" s="208" t="s">
        <v>263</v>
      </c>
      <c r="E54" s="208"/>
    </row>
    <row r="55" spans="1:5">
      <c r="A55" s="247"/>
      <c r="B55" s="207" t="s">
        <v>229</v>
      </c>
      <c r="C55" s="207"/>
      <c r="D55" s="224">
        <v>4</v>
      </c>
      <c r="E55" s="208"/>
    </row>
    <row r="56" spans="1:5">
      <c r="A56" s="247"/>
      <c r="B56" s="207" t="s">
        <v>230</v>
      </c>
      <c r="C56" s="207"/>
      <c r="D56" s="224" t="s">
        <v>265</v>
      </c>
      <c r="E56" s="208"/>
    </row>
    <row r="57" spans="1:5">
      <c r="A57" s="248"/>
      <c r="B57" s="207" t="s">
        <v>231</v>
      </c>
      <c r="C57" s="207"/>
      <c r="D57" s="224" t="s">
        <v>271</v>
      </c>
      <c r="E57" s="208"/>
    </row>
    <row r="58" spans="1:5">
      <c r="A58" s="250" t="s">
        <v>232</v>
      </c>
      <c r="B58" s="207" t="s">
        <v>233</v>
      </c>
      <c r="C58" s="207"/>
      <c r="D58" s="208" t="s">
        <v>272</v>
      </c>
      <c r="E58" s="208"/>
    </row>
    <row r="59" spans="1:5">
      <c r="A59" s="251"/>
      <c r="B59" s="207" t="s">
        <v>234</v>
      </c>
      <c r="C59" s="207"/>
      <c r="D59" s="224"/>
      <c r="E59" s="208"/>
    </row>
    <row r="60" spans="1:5" ht="72">
      <c r="A60" s="246" t="s">
        <v>235</v>
      </c>
      <c r="B60" s="207" t="s">
        <v>236</v>
      </c>
      <c r="C60" s="207" t="s">
        <v>237</v>
      </c>
      <c r="D60" s="208"/>
      <c r="E60" s="208"/>
    </row>
    <row r="61" spans="1:5" ht="20.25" customHeight="1">
      <c r="A61" s="247"/>
      <c r="B61" s="207" t="s">
        <v>238</v>
      </c>
      <c r="C61" s="207"/>
      <c r="D61" s="208" t="s">
        <v>263</v>
      </c>
      <c r="E61" s="208"/>
    </row>
    <row r="62" spans="1:5" ht="20.25" customHeight="1">
      <c r="A62" s="247"/>
      <c r="B62" s="207" t="s">
        <v>239</v>
      </c>
      <c r="C62" s="207" t="s">
        <v>240</v>
      </c>
      <c r="D62" s="224"/>
      <c r="E62" s="208"/>
    </row>
    <row r="63" spans="1:5" ht="20.25" customHeight="1">
      <c r="A63" s="248"/>
      <c r="B63" s="207" t="s">
        <v>241</v>
      </c>
      <c r="C63" s="207"/>
      <c r="D63" s="224" t="s">
        <v>273</v>
      </c>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59" zoomScale="90" zoomScaleNormal="90" workbookViewId="0">
      <selection activeCell="B63" sqref="B63:B65"/>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260</v>
      </c>
      <c r="B63" s="110">
        <v>7768.57</v>
      </c>
      <c r="C63" s="110">
        <v>1</v>
      </c>
      <c r="D63" s="110">
        <f>B63*C63</f>
        <v>7768.57</v>
      </c>
      <c r="E63" s="164">
        <v>8.93</v>
      </c>
      <c r="F63" s="165"/>
      <c r="G63" s="182">
        <v>8.93</v>
      </c>
      <c r="H63" s="171">
        <v>8.93</v>
      </c>
      <c r="I63" s="171">
        <v>5.08</v>
      </c>
      <c r="J63" s="13"/>
      <c r="K63" s="119"/>
      <c r="L63" s="107">
        <f t="shared" ref="L63:L93" si="16">IF($E63=0,"",$E63*$D63)</f>
        <v>69373.330099999992</v>
      </c>
      <c r="M63" s="121">
        <f t="shared" ref="M63:M93" si="17">IF($E63=0,"",F63*D63*Average_notional_PV_CO2_factor)</f>
        <v>0</v>
      </c>
      <c r="N63" s="121">
        <f t="shared" ref="N63:N93" si="18">IF($G63=0,"",$G63*$D63)</f>
        <v>69373.330099999992</v>
      </c>
      <c r="O63" s="107">
        <f>IF($G63=0,"",$N63+$M63)</f>
        <v>69373.330099999992</v>
      </c>
      <c r="P63" s="108">
        <f>IF($G63=0,"",$L63-O63)</f>
        <v>0</v>
      </c>
      <c r="Q63" s="107">
        <f t="shared" ref="Q63:Q93" si="19">IF($H63=0,"",$H63*$D63)</f>
        <v>69373.330099999992</v>
      </c>
      <c r="R63" s="107">
        <f>IF($H63=0,"",$Q63+$M63)</f>
        <v>69373.330099999992</v>
      </c>
      <c r="S63" s="108">
        <f>IF($H63=0,"",$R63-$O63)</f>
        <v>0</v>
      </c>
      <c r="T63" s="107">
        <f>IF($I63=0,"",$I63*$D63)</f>
        <v>39464.335599999999</v>
      </c>
      <c r="U63" s="178">
        <f>IF($H63=0,"",$R63-$T63)</f>
        <v>29908.994499999993</v>
      </c>
    </row>
    <row r="64" spans="1:21" ht="13.5" customHeight="1">
      <c r="A64" s="109" t="s">
        <v>261</v>
      </c>
      <c r="B64" s="110">
        <v>171</v>
      </c>
      <c r="C64" s="110">
        <v>1</v>
      </c>
      <c r="D64" s="110">
        <f>B64*C64</f>
        <v>171</v>
      </c>
      <c r="E64" s="164">
        <v>6.19</v>
      </c>
      <c r="F64" s="168"/>
      <c r="G64" s="182">
        <v>6.19</v>
      </c>
      <c r="H64" s="171">
        <v>6.19</v>
      </c>
      <c r="I64" s="171">
        <v>2.67</v>
      </c>
      <c r="J64" s="13"/>
      <c r="K64" s="119"/>
      <c r="L64" s="107">
        <f t="shared" si="16"/>
        <v>1058.49</v>
      </c>
      <c r="M64" s="121">
        <f t="shared" si="17"/>
        <v>0</v>
      </c>
      <c r="N64" s="121">
        <f t="shared" si="18"/>
        <v>1058.49</v>
      </c>
      <c r="O64" s="107">
        <f t="shared" ref="O64:O93" si="20">IF($G64=0,"",$N64+$M64)</f>
        <v>1058.49</v>
      </c>
      <c r="P64" s="108">
        <f t="shared" ref="P64:P93" si="21">IF($G64=0,"",$L64-O64)</f>
        <v>0</v>
      </c>
      <c r="Q64" s="107">
        <f t="shared" si="19"/>
        <v>1058.49</v>
      </c>
      <c r="R64" s="107">
        <f t="shared" ref="R64:R93" si="22">IF($H64=0,"",$Q64+$M64)</f>
        <v>1058.49</v>
      </c>
      <c r="S64" s="108">
        <f t="shared" ref="S64:S93" si="23">IF($H64=0,"",$R64-$O64)</f>
        <v>0</v>
      </c>
      <c r="T64" s="107">
        <f t="shared" ref="T64:T93" si="24">IF($I64=0,"",$I64*$D64)</f>
        <v>456.57</v>
      </c>
      <c r="U64" s="178">
        <f t="shared" ref="U64:U93" si="25">IF($H64=0,"",$R64-$T64)</f>
        <v>601.92000000000007</v>
      </c>
    </row>
    <row r="65" spans="1:21" ht="13.5" customHeight="1">
      <c r="A65" s="109" t="s">
        <v>262</v>
      </c>
      <c r="B65" s="110">
        <v>764</v>
      </c>
      <c r="C65" s="110">
        <v>1</v>
      </c>
      <c r="D65" s="110">
        <f>B65*C65</f>
        <v>764</v>
      </c>
      <c r="E65" s="164">
        <v>4.9782999999999999</v>
      </c>
      <c r="F65" s="168"/>
      <c r="G65" s="182">
        <v>4.9782999999999999</v>
      </c>
      <c r="H65" s="171">
        <v>4.9782999999999999</v>
      </c>
      <c r="I65" s="171">
        <v>4.7690000000000001</v>
      </c>
      <c r="J65" s="13"/>
      <c r="K65" s="119"/>
      <c r="L65" s="107">
        <f t="shared" si="16"/>
        <v>3803.4211999999998</v>
      </c>
      <c r="M65" s="121">
        <f t="shared" si="17"/>
        <v>0</v>
      </c>
      <c r="N65" s="121">
        <f t="shared" si="18"/>
        <v>3803.4211999999998</v>
      </c>
      <c r="O65" s="107">
        <f t="shared" si="20"/>
        <v>3803.4211999999998</v>
      </c>
      <c r="P65" s="108">
        <f t="shared" si="21"/>
        <v>0</v>
      </c>
      <c r="Q65" s="107">
        <f t="shared" si="19"/>
        <v>3803.4211999999998</v>
      </c>
      <c r="R65" s="107">
        <f t="shared" si="22"/>
        <v>3803.4211999999998</v>
      </c>
      <c r="S65" s="108">
        <f t="shared" si="23"/>
        <v>0</v>
      </c>
      <c r="T65" s="107">
        <f t="shared" si="24"/>
        <v>3643.5160000000001</v>
      </c>
      <c r="U65" s="178">
        <f t="shared" si="25"/>
        <v>159.9051999999997</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3</v>
      </c>
      <c r="D94" s="6">
        <f>SUM(D63:D93)</f>
        <v>8703.57</v>
      </c>
      <c r="E94" s="152">
        <f>IFERROR(SUMPRODUCT($D$63:$D$93,E63:E93)/$D$94,0)</f>
        <v>8.529286407761413</v>
      </c>
      <c r="F94" s="184">
        <f t="shared" ref="F94:I94" si="26">IFERROR(SUMPRODUCT($D$63:$D$93,F63:F93)/$D$94,0)</f>
        <v>0</v>
      </c>
      <c r="G94" s="152">
        <f t="shared" si="26"/>
        <v>8.529286407761413</v>
      </c>
      <c r="H94" s="152">
        <f t="shared" si="26"/>
        <v>8.529286407761413</v>
      </c>
      <c r="I94" s="152">
        <f t="shared" si="26"/>
        <v>5.0053508617728131</v>
      </c>
      <c r="J94" s="13"/>
      <c r="K94" s="119"/>
      <c r="L94" s="153">
        <f>SUM(L63:L93)</f>
        <v>74235.241299999994</v>
      </c>
      <c r="M94" s="153">
        <f t="shared" ref="M94:T94" si="27">SUM(M63:M93)</f>
        <v>0</v>
      </c>
      <c r="N94" s="153">
        <f t="shared" si="27"/>
        <v>74235.241299999994</v>
      </c>
      <c r="O94" s="153">
        <f t="shared" si="27"/>
        <v>74235.241299999994</v>
      </c>
      <c r="P94" s="153">
        <f t="shared" si="27"/>
        <v>0</v>
      </c>
      <c r="Q94" s="153">
        <f t="shared" si="27"/>
        <v>74235.241299999994</v>
      </c>
      <c r="R94" s="153">
        <f t="shared" si="27"/>
        <v>74235.241299999994</v>
      </c>
      <c r="S94" s="153">
        <f t="shared" si="27"/>
        <v>0</v>
      </c>
      <c r="T94" s="153">
        <f t="shared" si="27"/>
        <v>43564.421600000001</v>
      </c>
      <c r="U94" s="179">
        <f t="shared" ref="U94" si="28">SUM(U63:U93)</f>
        <v>30670.819699999993</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8703.57</v>
      </c>
      <c r="E96" s="155" t="s">
        <v>22</v>
      </c>
      <c r="F96" s="155" t="s">
        <v>22</v>
      </c>
      <c r="G96" s="155" t="s">
        <v>22</v>
      </c>
      <c r="H96" s="155" t="s">
        <v>22</v>
      </c>
      <c r="I96" s="155" t="s">
        <v>22</v>
      </c>
      <c r="J96" s="122"/>
      <c r="K96" s="123"/>
      <c r="L96" s="156">
        <f>L58+L94</f>
        <v>74235.241299999994</v>
      </c>
      <c r="M96" s="156">
        <f t="shared" ref="M96:T96" si="29">M58+M94</f>
        <v>0</v>
      </c>
      <c r="N96" s="156">
        <f t="shared" si="29"/>
        <v>74235.241299999994</v>
      </c>
      <c r="O96" s="156">
        <f t="shared" si="29"/>
        <v>74235.241299999994</v>
      </c>
      <c r="P96" s="156">
        <f t="shared" si="29"/>
        <v>0</v>
      </c>
      <c r="Q96" s="156">
        <f t="shared" si="29"/>
        <v>74235.241299999994</v>
      </c>
      <c r="R96" s="156">
        <f t="shared" si="29"/>
        <v>74235.241299999994</v>
      </c>
      <c r="S96" s="156">
        <f t="shared" ref="S96" si="30">S58+S94</f>
        <v>0</v>
      </c>
      <c r="T96" s="156">
        <f t="shared" si="29"/>
        <v>43564.421600000001</v>
      </c>
      <c r="U96" s="181">
        <f>U58+U94</f>
        <v>30670.819699999993</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C13" sqref="C13"/>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c r="C6" s="75"/>
      <c r="D6" s="75"/>
      <c r="E6" s="75"/>
      <c r="F6" s="75"/>
      <c r="G6" s="75"/>
      <c r="H6" s="75"/>
      <c r="I6" s="75"/>
      <c r="J6" s="75"/>
      <c r="K6" s="75"/>
      <c r="L6" s="76"/>
      <c r="M6" s="76"/>
      <c r="N6" s="293" t="str">
        <f>IF('EUI &amp; space heating demand'!B6="","",SUM('EUI &amp; space heating demand'!$D$6:$I$7)/SUM('EUI &amp; space heating demand'!$B$6:$B$7))</f>
        <v/>
      </c>
      <c r="O6" s="293" t="str">
        <f>IF('EUI &amp; space heating demand'!B6="","",'EUI &amp; space heating demand'!C6/'EUI &amp; space heating demand'!B6)</f>
        <v/>
      </c>
      <c r="P6" s="293" t="str">
        <f>IF('EUI &amp; space heating demand'!B6="","",Tables!B29)</f>
        <v/>
      </c>
      <c r="Q6" s="293" t="str">
        <f>IF('EUI &amp; space heating demand'!B6="","",Tables!C29)</f>
        <v/>
      </c>
      <c r="R6" s="77"/>
      <c r="S6" s="77"/>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t="s">
        <v>57</v>
      </c>
      <c r="B13" s="75">
        <f>7829+2467+329</f>
        <v>10625</v>
      </c>
      <c r="C13" s="75">
        <f>3.2*10032</f>
        <v>32102.400000000001</v>
      </c>
      <c r="D13" s="75">
        <v>1415000</v>
      </c>
      <c r="E13" s="75">
        <v>0</v>
      </c>
      <c r="F13" s="75"/>
      <c r="G13" s="75"/>
      <c r="H13" s="75"/>
      <c r="I13" s="75"/>
      <c r="J13" s="75"/>
      <c r="K13" s="75"/>
      <c r="L13" s="76" t="s">
        <v>268</v>
      </c>
      <c r="M13" s="76" t="s">
        <v>268</v>
      </c>
      <c r="N13" s="96">
        <f>IF('EUI &amp; space heating demand'!B13="","",SUM('EUI &amp; space heating demand'!$D13:$K13)/'EUI &amp; space heating demand'!B13)</f>
        <v>133.1764705882353</v>
      </c>
      <c r="O13" s="96">
        <f>IF('EUI &amp; space heating demand'!B13="","",'EUI &amp; space heating demand'!C13/'EUI &amp; space heating demand'!B13)</f>
        <v>3.0214023529411764</v>
      </c>
      <c r="P13" s="96">
        <f>IF('EUI &amp; space heating demand'!B13="","", VLOOKUP(A13,Tables!$A$24:$C$27,2))</f>
        <v>55</v>
      </c>
      <c r="Q13" s="96">
        <f>IF('EUI &amp; space heating demand'!B13="","", VLOOKUP(A13,Tables!$A$24:$C$27,3))</f>
        <v>15</v>
      </c>
      <c r="R13" s="77" t="s">
        <v>269</v>
      </c>
      <c r="S13" s="77" t="s">
        <v>270</v>
      </c>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10625</v>
      </c>
      <c r="C33" s="63">
        <f t="shared" ref="C33:K33" si="1">SUM(C13:C32)</f>
        <v>32102.400000000001</v>
      </c>
      <c r="D33" s="63">
        <f t="shared" si="1"/>
        <v>1415000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zoomScale="68" zoomScaleNormal="68" workbookViewId="0">
      <selection activeCell="I67" sqref="I67"/>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74.235241299999998</v>
      </c>
      <c r="J8" s="66">
        <v>22.8</v>
      </c>
      <c r="K8" s="81"/>
      <c r="L8" s="81"/>
      <c r="M8" s="90"/>
    </row>
    <row r="9" spans="1:13" s="27" customFormat="1" ht="45" customHeight="1">
      <c r="B9" s="24" t="s">
        <v>70</v>
      </c>
      <c r="C9" s="25">
        <f>'Part L Outputs'!O58/1000</f>
        <v>0</v>
      </c>
      <c r="D9" s="66"/>
      <c r="E9" s="54"/>
      <c r="F9" s="26"/>
      <c r="G9" s="54"/>
      <c r="H9" s="24" t="s">
        <v>70</v>
      </c>
      <c r="I9" s="25">
        <f>'Part L Outputs'!O94/1000</f>
        <v>74.235241299999998</v>
      </c>
      <c r="J9" s="66">
        <v>22.8</v>
      </c>
      <c r="K9" s="81"/>
      <c r="L9" s="81"/>
      <c r="M9" s="90"/>
    </row>
    <row r="10" spans="1:13" s="27" customFormat="1" ht="45" customHeight="1">
      <c r="B10" s="24" t="s">
        <v>71</v>
      </c>
      <c r="C10" s="25">
        <f>'Part L Outputs'!R58/1000</f>
        <v>0</v>
      </c>
      <c r="D10" s="66"/>
      <c r="E10" s="54"/>
      <c r="F10" s="26"/>
      <c r="G10" s="54"/>
      <c r="H10" s="24" t="s">
        <v>71</v>
      </c>
      <c r="I10" s="25">
        <f>'Part L Outputs'!R94/1000</f>
        <v>74.235241299999998</v>
      </c>
      <c r="J10" s="66">
        <v>22.8</v>
      </c>
      <c r="K10" s="81"/>
      <c r="L10" s="81"/>
      <c r="M10" s="90"/>
    </row>
    <row r="11" spans="1:13" s="27" customFormat="1" ht="45" customHeight="1">
      <c r="B11" s="24" t="s">
        <v>72</v>
      </c>
      <c r="C11" s="25">
        <f>'Part L Outputs'!T58/1000</f>
        <v>0</v>
      </c>
      <c r="D11" s="66"/>
      <c r="E11" s="185"/>
      <c r="F11" s="26"/>
      <c r="G11" s="54"/>
      <c r="H11" s="24" t="s">
        <v>72</v>
      </c>
      <c r="I11" s="25">
        <f>'Part L Outputs'!T94/1000</f>
        <v>43.564421600000003</v>
      </c>
      <c r="J11" s="66">
        <v>22.8</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0</v>
      </c>
      <c r="J18" s="31">
        <f>IFERROR(I18/I8,0)</f>
        <v>0</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30.670819699999996</v>
      </c>
      <c r="J20" s="31">
        <f>IFERROR(I20/I8,0)</f>
        <v>0.41315713619159472</v>
      </c>
      <c r="K20" s="28"/>
      <c r="L20" s="28"/>
      <c r="M20" s="91"/>
    </row>
    <row r="21" spans="2:13" s="30" customFormat="1" ht="45" customHeight="1">
      <c r="B21" s="32" t="s">
        <v>82</v>
      </c>
      <c r="C21" s="33">
        <f>C8-C11</f>
        <v>0</v>
      </c>
      <c r="D21" s="34">
        <f>IFERROR(C21/C8,0)</f>
        <v>0</v>
      </c>
      <c r="E21" s="28"/>
      <c r="F21" s="29"/>
      <c r="G21" s="28"/>
      <c r="H21" s="32" t="s">
        <v>83</v>
      </c>
      <c r="I21" s="33">
        <f>I8-I11</f>
        <v>30.670819699999996</v>
      </c>
      <c r="J21" s="34">
        <f>IFERROR(I21/I8,0)</f>
        <v>0.41315713619159472</v>
      </c>
      <c r="K21" s="92"/>
      <c r="L21" s="28"/>
      <c r="M21" s="91"/>
    </row>
    <row r="22" spans="2:13" s="30" customFormat="1" ht="45" customHeight="1">
      <c r="B22" s="24" t="s">
        <v>84</v>
      </c>
      <c r="C22" s="25">
        <f>(C8-C21)</f>
        <v>0</v>
      </c>
      <c r="D22" s="35" t="s">
        <v>22</v>
      </c>
      <c r="E22" s="28"/>
      <c r="F22" s="29"/>
      <c r="G22" s="28"/>
      <c r="H22" s="24" t="s">
        <v>84</v>
      </c>
      <c r="I22" s="25">
        <f>(I8-I21)</f>
        <v>43.564421600000003</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0</v>
      </c>
      <c r="D24" s="35" t="s">
        <v>22</v>
      </c>
      <c r="E24" s="28"/>
      <c r="F24" s="29"/>
      <c r="G24" s="28"/>
      <c r="H24" s="32" t="s">
        <v>86</v>
      </c>
      <c r="I24" s="36">
        <f>I22*30</f>
        <v>1306.932648</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124158.60156000001</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74.235241299999998</v>
      </c>
      <c r="D61" s="41"/>
      <c r="E61" s="42"/>
      <c r="F61" s="56">
        <f>$C$61</f>
        <v>74.235241299999998</v>
      </c>
      <c r="G61" s="56"/>
      <c r="H61" s="48" t="s">
        <v>97</v>
      </c>
      <c r="I61" s="49">
        <f>IFERROR('Part L Outputs'!J58,"")</f>
        <v>0</v>
      </c>
      <c r="J61" s="49">
        <f>IFERROR('Part L Outputs'!K58,"")</f>
        <v>0</v>
      </c>
      <c r="K61" s="44" t="str">
        <f>IFERROR(1-J61/I61,"")</f>
        <v/>
      </c>
      <c r="L61" s="55"/>
      <c r="M61" s="91"/>
    </row>
    <row r="62" spans="1:13" s="30" customFormat="1" ht="40.15" customHeight="1">
      <c r="B62" s="43" t="s">
        <v>98</v>
      </c>
      <c r="C62" s="40">
        <f>'Part L Outputs'!O96/1000</f>
        <v>74.235241299999998</v>
      </c>
      <c r="D62" s="40">
        <f>C61-C62</f>
        <v>0</v>
      </c>
      <c r="E62" s="44">
        <f>IFERROR(D62/C61,0)</f>
        <v>0</v>
      </c>
      <c r="F62" s="56">
        <f>$C$61</f>
        <v>74.235241299999998</v>
      </c>
      <c r="G62" s="56"/>
      <c r="H62" s="28"/>
      <c r="I62" s="73"/>
      <c r="J62" s="73"/>
      <c r="K62" s="28"/>
      <c r="L62" s="55"/>
      <c r="M62" s="91"/>
    </row>
    <row r="63" spans="1:13" s="30" customFormat="1" ht="40.15" customHeight="1">
      <c r="B63" s="43" t="s">
        <v>99</v>
      </c>
      <c r="C63" s="40">
        <f>'Part L Outputs'!R96/1000</f>
        <v>74.235241299999998</v>
      </c>
      <c r="D63" s="40">
        <f>C62-C63</f>
        <v>0</v>
      </c>
      <c r="E63" s="44">
        <f>IFERROR(D63/C61,0)</f>
        <v>0</v>
      </c>
      <c r="F63" s="56">
        <f>$C$61</f>
        <v>74.235241299999998</v>
      </c>
      <c r="G63" s="56"/>
      <c r="H63" s="28"/>
      <c r="I63" s="73"/>
      <c r="J63" s="73"/>
      <c r="K63" s="28"/>
      <c r="L63" s="55"/>
      <c r="M63" s="91"/>
    </row>
    <row r="64" spans="1:13" s="30" customFormat="1" ht="66">
      <c r="B64" s="43" t="s">
        <v>100</v>
      </c>
      <c r="C64" s="40">
        <f>'Part L Outputs'!T96/1000</f>
        <v>43.564421600000003</v>
      </c>
      <c r="D64" s="40">
        <f>C63-C64</f>
        <v>30.670819699999996</v>
      </c>
      <c r="E64" s="44">
        <f>IFERROR(D64/C61,0)</f>
        <v>0.41315713619159472</v>
      </c>
      <c r="F64" s="56">
        <f>$C$61</f>
        <v>74.235241299999998</v>
      </c>
      <c r="G64" s="56"/>
      <c r="H64" s="71"/>
      <c r="I64" s="71" t="s">
        <v>258</v>
      </c>
      <c r="J64" s="71" t="s">
        <v>158</v>
      </c>
      <c r="K64" s="28"/>
      <c r="L64" s="55"/>
      <c r="M64" s="91"/>
    </row>
    <row r="65" spans="1:14" s="30" customFormat="1" ht="40.15" customHeight="1">
      <c r="B65" s="43" t="s">
        <v>101</v>
      </c>
      <c r="C65" s="45" t="s">
        <v>22</v>
      </c>
      <c r="D65" s="40">
        <f>SUM(D62:D64)</f>
        <v>30.670819699999996</v>
      </c>
      <c r="E65" s="44">
        <f>IFERROR(D65/C61,0)</f>
        <v>0.41315713619159472</v>
      </c>
      <c r="F65" s="56">
        <f>$C$61</f>
        <v>74.235241299999998</v>
      </c>
      <c r="G65" s="56"/>
      <c r="H65" s="48" t="s">
        <v>102</v>
      </c>
      <c r="I65" s="67">
        <f>J65/'Part L Outputs'!D96</f>
        <v>18.298881953037665</v>
      </c>
      <c r="J65" s="67">
        <v>159265.60000000001</v>
      </c>
      <c r="K65" s="28"/>
      <c r="L65" s="55"/>
      <c r="M65" s="91"/>
    </row>
    <row r="66" spans="1:14" s="30" customFormat="1" ht="40.15" customHeight="1">
      <c r="B66" s="39"/>
      <c r="C66" s="45" t="s">
        <v>22</v>
      </c>
      <c r="D66" s="46" t="s">
        <v>103</v>
      </c>
      <c r="E66" s="44" t="s">
        <v>22</v>
      </c>
      <c r="F66" s="53"/>
      <c r="G66" s="53"/>
      <c r="H66" s="48" t="s">
        <v>104</v>
      </c>
      <c r="I66" s="67">
        <f>J66/'Part L Outputs'!D96</f>
        <v>18.427817550729184</v>
      </c>
      <c r="J66" s="67">
        <v>160387.79999999999</v>
      </c>
      <c r="K66" s="28"/>
      <c r="L66" s="55"/>
      <c r="M66" s="91"/>
    </row>
    <row r="67" spans="1:14" s="30" customFormat="1" ht="40.15" customHeight="1">
      <c r="B67" s="39" t="s">
        <v>105</v>
      </c>
      <c r="C67" s="45" t="s">
        <v>22</v>
      </c>
      <c r="D67" s="47">
        <f>C24+I24</f>
        <v>1306.932648</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6" t="str">
        <f>IF('EUI &amp; space heating demand'!$B$6="","",CONCATENATE('EUI &amp; space heating demand'!R6, " &amp; ", 'EUI &amp; space heating demand'!S6,  " dwellings / ", 'EUI &amp; space heating demand'!R7, " &amp; ", 'EUI &amp; space heating demand'!S7, " Landlord Circulation " ))</f>
        <v/>
      </c>
      <c r="H72" s="317"/>
      <c r="I72" s="297" t="str">
        <f>IF('EUI &amp; space heating demand'!T6="","", CONCATENATE('EUI &amp; space heating demand'!T6, " &amp; ", 'EUI &amp; space heating demand'!T7))</f>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All other non-residential</v>
      </c>
      <c r="C75" s="191">
        <f>IF('EUI &amp; space heating demand'!B13="","",'EUI &amp; space heating demand'!N13)</f>
        <v>133.1764705882353</v>
      </c>
      <c r="D75" s="191">
        <f>IF('EUI &amp; space heating demand'!B13="","",'EUI &amp; space heating demand'!O13)</f>
        <v>3.0214023529411764</v>
      </c>
      <c r="E75" s="192">
        <f>IF('EUI &amp; space heating demand'!B13="","", 'EUI &amp; space heating demand'!P13)</f>
        <v>55</v>
      </c>
      <c r="F75" s="192">
        <f>IF('EUI &amp; space heating demand'!B13="","", 'EUI &amp; space heating demand'!Q13)</f>
        <v>15</v>
      </c>
      <c r="G75" s="311" t="str">
        <f>IF('EUI &amp; space heating demand'!B13="","",CONCATENATE('EUI &amp; space heating demand'!R13," &amp; ",'EUI &amp; space heating demand'!S13))</f>
        <v>Part L2 - approved DSM &amp; CIBSE TM54</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74.235241299999998</v>
      </c>
      <c r="E14" s="135">
        <f t="shared" ref="E14:E19" si="1">D14*0.65</f>
        <v>48.252906844999998</v>
      </c>
    </row>
    <row r="15" spans="1:5">
      <c r="A15" s="134" t="s">
        <v>98</v>
      </c>
      <c r="B15" s="136">
        <f>'GLA Summary Tables'!I9</f>
        <v>74.235241299999998</v>
      </c>
      <c r="C15" s="136">
        <f>'GLA Summary Tables'!I18</f>
        <v>0</v>
      </c>
      <c r="D15" s="135">
        <f>'GLA Summary Tables'!I$8</f>
        <v>74.235241299999998</v>
      </c>
      <c r="E15" s="135">
        <f t="shared" si="1"/>
        <v>48.252906844999998</v>
      </c>
    </row>
    <row r="16" spans="1:5">
      <c r="A16" s="134" t="s">
        <v>112</v>
      </c>
      <c r="B16" s="136">
        <f>'GLA Summary Tables'!I10</f>
        <v>74.235241299999998</v>
      </c>
      <c r="C16" s="136">
        <f>'GLA Summary Tables'!I19</f>
        <v>0</v>
      </c>
      <c r="D16" s="135">
        <f>'GLA Summary Tables'!I$8</f>
        <v>74.235241299999998</v>
      </c>
      <c r="E16" s="135">
        <f t="shared" si="1"/>
        <v>48.252906844999998</v>
      </c>
    </row>
    <row r="17" spans="1:5">
      <c r="A17" s="134" t="s">
        <v>113</v>
      </c>
      <c r="B17" s="136">
        <f>'GLA Summary Tables'!I11</f>
        <v>43.564421600000003</v>
      </c>
      <c r="C17" s="136">
        <f>'GLA Summary Tables'!I20</f>
        <v>30.670819699999996</v>
      </c>
      <c r="D17" s="135">
        <f>'GLA Summary Tables'!I$8</f>
        <v>74.235241299999998</v>
      </c>
      <c r="E17" s="135">
        <f t="shared" si="1"/>
        <v>48.252906844999998</v>
      </c>
    </row>
    <row r="18" spans="1:5">
      <c r="A18" s="134" t="s">
        <v>114</v>
      </c>
      <c r="B18" s="136">
        <v>0</v>
      </c>
      <c r="C18" s="136">
        <f>'GLA Summary Tables'!I22</f>
        <v>43.564421600000003</v>
      </c>
      <c r="D18" s="135">
        <f>'GLA Summary Tables'!I$8</f>
        <v>74.235241299999998</v>
      </c>
      <c r="E18" s="135">
        <f t="shared" si="1"/>
        <v>48.252906844999998</v>
      </c>
    </row>
    <row r="19" spans="1:5">
      <c r="A19" s="134"/>
      <c r="B19" s="133"/>
      <c r="C19" s="133"/>
      <c r="D19" s="135">
        <f>'GLA Summary Tables'!I$8</f>
        <v>74.235241299999998</v>
      </c>
      <c r="E19" s="135">
        <f t="shared" si="1"/>
        <v>48.252906844999998</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650fbec-c3cc-4bf9-a9ce-ad97c9c77413">
      <Terms xmlns="http://schemas.microsoft.com/office/infopath/2007/PartnerControls"/>
    </lcf76f155ced4ddcb4097134ff3c332f>
    <TaxCatchAll xmlns="ba32a520-29e5-44c1-848b-1a9332cfeb12" xsi:nil="true"/>
    <Type_x002f_Form xmlns="5650fbec-c3cc-4bf9-a9ce-ad97c9c77413">RP	Report</Type_x002f_Form>
    <Revision xmlns="5650fbec-c3cc-4bf9-a9ce-ad97c9c77413">P01</Revision>
    <StatusCode xmlns="5650fbec-c3cc-4bf9-a9ce-ad97c9c77413">S2	 Information containers that are suitable for information/reference by other task teams within a delivery team</StatusCode>
    <FileDescription xmlns="5650fbec-c3cc-4bf9-a9ce-ad97c9c77413">Planning Submission</FileDescription>
    <Discipline xmlns="5650fbec-c3cc-4bf9-a9ce-ad97c9c77413">ES	Energy &amp; Sustainability*</Discipline>
    <_Flow_SignoffStatus xmlns="5650fbec-c3cc-4bf9-a9ce-ad97c9c77413" xsi:nil="true"/>
    <DesignStage xmlns="5650fbec-c3cc-4bf9-a9ce-ad97c9c77413">N/A</DesignStage>
    <IssueDate xmlns="5650fbec-c3cc-4bf9-a9ce-ad97c9c77413">2023-11-28T08:00:00+00:00</Issue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D05261B6F978042B0EC91E61BF6BB2E" ma:contentTypeVersion="28" ma:contentTypeDescription="Create a new document." ma:contentTypeScope="" ma:versionID="ce0d1367e9ac147af8ce908c2ad354d9">
  <xsd:schema xmlns:xsd="http://www.w3.org/2001/XMLSchema" xmlns:xs="http://www.w3.org/2001/XMLSchema" xmlns:p="http://schemas.microsoft.com/office/2006/metadata/properties" xmlns:ns2="ba32a520-29e5-44c1-848b-1a9332cfeb12" xmlns:ns3="5650fbec-c3cc-4bf9-a9ce-ad97c9c77413" targetNamespace="http://schemas.microsoft.com/office/2006/metadata/properties" ma:root="true" ma:fieldsID="cc8ca995723476b35e508c79e93ad0c5" ns2:_="" ns3:_="">
    <xsd:import namespace="ba32a520-29e5-44c1-848b-1a9332cfeb12"/>
    <xsd:import namespace="5650fbec-c3cc-4bf9-a9ce-ad97c9c774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LengthInSeconds" minOccurs="0"/>
                <xsd:element ref="ns3:Discipline" minOccurs="0"/>
                <xsd:element ref="ns3:Type_x002f_Form" minOccurs="0"/>
                <xsd:element ref="ns3:StatusCode" minOccurs="0"/>
                <xsd:element ref="ns3:MediaServiceOCR" minOccurs="0"/>
                <xsd:element ref="ns3:MediaServiceLocation" minOccurs="0"/>
                <xsd:element ref="ns3:FileDescription" minOccurs="0"/>
                <xsd:element ref="ns3:_Flow_SignoffStatus" minOccurs="0"/>
                <xsd:element ref="ns3:MediaServiceObjectDetectorVersions" minOccurs="0"/>
                <xsd:element ref="ns3:DesignStage" minOccurs="0"/>
                <xsd:element ref="ns3:IssueDate" minOccurs="0"/>
                <xsd:element ref="ns3:Re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2a520-29e5-44c1-848b-1a9332cfeb1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2de6924-4a2a-455e-b3ad-4f09e235e9ac}" ma:internalName="TaxCatchAll" ma:showField="CatchAllData" ma:web="ba32a520-29e5-44c1-848b-1a9332cfeb1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50fbec-c3cc-4bf9-a9ce-ad97c9c774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Discipline" ma:index="19" nillable="true" ma:displayName="Discipline" ma:description="For general (non-disciplinary) documents Z shall be used. &#10;The following Discipline codes shall be used on the project:" ma:format="Dropdown" ma:internalName="Discipline">
      <xsd:simpleType>
        <xsd:restriction base="dms:Choice">
          <xsd:enumeration value="Z Non discipline"/>
          <xsd:enumeration value="KL Client"/>
          <xsd:enumeration value="IM Information Management"/>
          <xsd:enumeration value="AR Architect"/>
          <xsd:enumeration value="ST  Structures"/>
          <xsd:enumeration value="CV Civil Engineering"/>
          <xsd:enumeration value="UT Utilities"/>
          <xsd:enumeration value="CS MEP Combined Services"/>
          <xsd:enumeration value="AC Acoustics"/>
          <xsd:enumeration value="AH Archaeology and Heritage"/>
          <xsd:enumeration value="FI Fire Engineering"/>
          <xsd:enumeration value="AQ Air Quality"/>
          <xsd:enumeration value="BE BREEAM"/>
          <xsd:enumeration value="DR Drainage Engineering"/>
          <xsd:enumeration value="ES Energy &amp; Sustainability*"/>
          <xsd:enumeration value="GE Geotechnical Engineering"/>
          <xsd:enumeration value="MD Multidiscipline"/>
          <xsd:enumeration value="PM Project Manager"/>
          <xsd:enumeration value="SE Security"/>
          <xsd:enumeration value="SV Surveys"/>
          <xsd:enumeration value="TO Topographical Services"/>
          <xsd:enumeration value="TP Transport Planning"/>
          <xsd:enumeration value="VT Vertical Transportation"/>
          <xsd:enumeration value="AM Asbestos Management"/>
          <xsd:enumeration value="EE Electrical Engineering"/>
          <xsd:enumeration value="ME Mechanical Engineer"/>
          <xsd:enumeration value="PH Public Health Engineer"/>
          <xsd:enumeration value="TV Tunnel Ventilation"/>
          <xsd:enumeration value="M3 3D model"/>
        </xsd:restriction>
      </xsd:simpleType>
    </xsd:element>
    <xsd:element name="Type_x002f_Form" ma:index="20" nillable="true" ma:displayName="Type / Form" ma:format="Dropdown" ma:internalName="Type_x002f_Form">
      <xsd:simpleType>
        <xsd:restriction base="dms:Choice">
          <xsd:enumeration value="IE Information Exchange Requirements"/>
          <xsd:enumeration value="DR Drawing Rendition"/>
          <xsd:enumeration value="SH Schedule"/>
          <xsd:enumeration value="RP Report"/>
          <xsd:enumeration value="PR Programme"/>
          <xsd:enumeration value="BQ Bill of Quantities"/>
          <xsd:enumeration value="CA Calculations"/>
          <xsd:enumeration value="CO Correspondence"/>
          <xsd:enumeration value="CP Cost Plan"/>
          <xsd:enumeration value="DN Design Development Note"/>
          <xsd:enumeration value="HS Health and Safety"/>
          <xsd:enumeration value="MI Minutes / Action Notes"/>
          <xsd:enumeration value="PP Presentation"/>
          <xsd:enumeration value="RA Risk Assessment"/>
          <xsd:enumeration value="RI Request for Information (RFI)"/>
          <xsd:enumeration value="SK Sketch"/>
          <xsd:enumeration value="SP Specification"/>
          <xsd:enumeration value="MU Markups"/>
          <xsd:enumeration value="IM Images"/>
          <xsd:enumeration value="VD Video"/>
          <xsd:enumeration value="IR Inspection Report"/>
          <xsd:enumeration value="N/A Sandpit"/>
          <xsd:enumeration value="RF References"/>
          <xsd:enumeration value="GU Guidance Document"/>
          <xsd:enumeration value="M3 3D model"/>
        </xsd:restriction>
      </xsd:simpleType>
    </xsd:element>
    <xsd:element name="StatusCode" ma:index="21" nillable="true" ma:displayName="Status Code" ma:format="Dropdown" ma:internalName="StatusCode">
      <xsd:simpleType>
        <xsd:restriction base="dms:Choice">
          <xsd:enumeration value="S0  Information container being developed within a task team"/>
          <xsd:enumeration value="W1 LIVE WIP file - shared for comments"/>
          <xsd:enumeration value="W2 LIVE WIP file - shared for input from other disciplines"/>
          <xsd:enumeration value="S1 &quot;Information containers that are suitable for geometrical and/or non‑geometrical coordination within a delivery"/>
          <xsd:enumeration value="S2  Information containers that are suitable for information/reference by other task teams within a delivery team"/>
          <xsd:enumeration value="S3  Information containers that are suitable for review and comment within a delivery team"/>
          <xsd:enumeration value="SS superseded"/>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FileDescription" ma:index="24" nillable="true" ma:displayName="File Description" ma:description="Short description of the File" ma:format="Dropdown" ma:internalName="FileDescription">
      <xsd:simpleType>
        <xsd:restriction base="dms:Text">
          <xsd:maxLength value="255"/>
        </xsd:restriction>
      </xsd:simpleType>
    </xsd:element>
    <xsd:element name="_Flow_SignoffStatus" ma:index="25" nillable="true" ma:displayName="Sign-off status" ma:internalName="Sign_x002d_off_x0020_status">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DesignStage" ma:index="27" nillable="true" ma:displayName="Design Stage" ma:format="Dropdown" ma:internalName="DesignStage">
      <xsd:simpleType>
        <xsd:restriction base="dms:Choice">
          <xsd:enumeration value="RIBA 0"/>
          <xsd:enumeration value="RIBA 1"/>
          <xsd:enumeration value="RIBA 2"/>
          <xsd:enumeration value="RIBA 3"/>
          <xsd:enumeration value="N/A"/>
        </xsd:restriction>
      </xsd:simpleType>
    </xsd:element>
    <xsd:element name="IssueDate" ma:index="28" nillable="true" ma:displayName="Issue Date" ma:default="[today]" ma:description="Please indicate the date on which this information was issued." ma:format="DateOnly" ma:internalName="IssueDate">
      <xsd:simpleType>
        <xsd:restriction base="dms:DateTime"/>
      </xsd:simpleType>
    </xsd:element>
    <xsd:element name="Revision" ma:index="29" nillable="true" ma:displayName="Revision" ma:default="P01" ma:description="P0" ma:format="Dropdown" ma:internalName="Revision">
      <xsd:simpleType>
        <xsd:restriction base="dms:Choice">
          <xsd:enumeration value="P01"/>
          <xsd:enumeration value="P01.1"/>
          <xsd:enumeration value="P01.2"/>
          <xsd:enumeration value="P01.3"/>
          <xsd:enumeration value="P02"/>
          <xsd:enumeration value="P03"/>
          <xsd:enumeration value="P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91CA3-7BC7-4E16-9A27-160EA9B2A0BB}">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5650fbec-c3cc-4bf9-a9ce-ad97c9c77413"/>
    <ds:schemaRef ds:uri="ba32a520-29e5-44c1-848b-1a9332cfeb12"/>
    <ds:schemaRef ds:uri="http://purl.org/dc/term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B81B3ABE-3AE6-47B5-B07B-EBF749172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2a520-29e5-44c1-848b-1a9332cfeb12"/>
    <ds:schemaRef ds:uri="5650fbec-c3cc-4bf9-a9ce-ad97c9c774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Metadata/LabelInfo.xml><?xml version="1.0" encoding="utf-8"?>
<clbl:labelList xmlns:clbl="http://schemas.microsoft.com/office/2020/mipLabelMetadata">
  <clbl:label id="{3d234255-e20f-4205-88a5-9658a402999b}" enabled="0" method="" siteId="{3d234255-e20f-4205-88a5-9658a402999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2023-11-27T16:52:44Z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0x0101001D05261B6F978042B0EC91E61BF6BB2E</vt:lpwstr>
  </property>
  <property fmtid="{D5CDD505-2E9C-101B-9397-08002B2CF9AE}" pid="3" name="MediaServiceImageTags">
    <vt:lpwstr/>
  </property>
</Properties>
</file>