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ce.la-band\Documents\"/>
    </mc:Choice>
  </mc:AlternateContent>
  <xr:revisionPtr revIDLastSave="0" documentId="8_{2B289BDE-3A15-4306-8AA9-D4636FD46F78}" xr6:coauthVersionLast="47" xr6:coauthVersionMax="47" xr10:uidLastSave="{00000000-0000-0000-0000-000000000000}"/>
  <bookViews>
    <workbookView xWindow="28680" yWindow="-120" windowWidth="19440" windowHeight="15000" activeTab="1" xr2:uid="{B89ABF2F-EAFD-49C5-B2FB-38F278FFCF02}"/>
  </bookViews>
  <sheets>
    <sheet name="MC Method" sheetId="1" r:id="rId1"/>
    <sheet name="Suction Metho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2" l="1"/>
  <c r="Q9" i="2" s="1"/>
  <c r="G11" i="2"/>
  <c r="Q11" i="2" s="1"/>
  <c r="G13" i="2"/>
  <c r="Q13" i="2" s="1"/>
  <c r="G15" i="2"/>
  <c r="Q15" i="2" s="1"/>
  <c r="G7" i="2"/>
  <c r="Q7" i="2" s="1"/>
  <c r="R16" i="2"/>
  <c r="R14" i="2"/>
  <c r="R12" i="2"/>
  <c r="R10" i="2"/>
  <c r="R8" i="2"/>
  <c r="R6" i="2"/>
  <c r="I8" i="2"/>
  <c r="H8" i="2"/>
  <c r="I6" i="2"/>
  <c r="I10" i="2"/>
  <c r="I12" i="2"/>
  <c r="I14" i="2"/>
  <c r="I16" i="2"/>
  <c r="H10" i="2"/>
  <c r="H12" i="2"/>
  <c r="H14" i="2"/>
  <c r="H16" i="2"/>
  <c r="H6" i="2"/>
  <c r="F9" i="1"/>
  <c r="F11" i="1"/>
  <c r="F13" i="1"/>
  <c r="F15" i="1"/>
  <c r="F17" i="1"/>
  <c r="F19" i="1"/>
  <c r="F21" i="1"/>
  <c r="F23" i="1"/>
  <c r="F7" i="1"/>
  <c r="E9" i="1"/>
  <c r="E11" i="1"/>
  <c r="E13" i="1"/>
  <c r="E15" i="1"/>
  <c r="E17" i="1"/>
  <c r="E19" i="1"/>
  <c r="E21" i="1"/>
  <c r="E23" i="1"/>
  <c r="E7" i="1"/>
  <c r="D9" i="1"/>
  <c r="D11" i="1"/>
  <c r="D13" i="1"/>
  <c r="D7" i="1"/>
  <c r="G21" i="1" l="1"/>
  <c r="G9" i="1"/>
  <c r="G11" i="1"/>
  <c r="G13" i="1"/>
  <c r="G17" i="1"/>
  <c r="G15" i="1"/>
  <c r="G19" i="1"/>
  <c r="G23" i="1"/>
  <c r="H22" i="1" s="1"/>
  <c r="G7" i="1"/>
  <c r="L9" i="2"/>
  <c r="K9" i="2"/>
  <c r="L15" i="2"/>
  <c r="L7" i="2"/>
  <c r="K7" i="2"/>
  <c r="L13" i="2"/>
  <c r="L11" i="2"/>
  <c r="K15" i="2"/>
  <c r="K13" i="2"/>
  <c r="K11" i="2"/>
  <c r="M15" i="2" l="1"/>
  <c r="N14" i="2" s="1"/>
  <c r="H20" i="1"/>
  <c r="H18" i="1" s="1"/>
  <c r="H16" i="1"/>
  <c r="H14" i="1" s="1"/>
  <c r="H12" i="1" s="1"/>
  <c r="H10" i="1" s="1"/>
  <c r="H8" i="1" s="1"/>
  <c r="H6" i="1" s="1"/>
  <c r="I6" i="1" s="1"/>
  <c r="M7" i="2"/>
  <c r="M9" i="2"/>
  <c r="M11" i="2"/>
  <c r="M13" i="2"/>
  <c r="N12" i="2" l="1"/>
  <c r="N10" i="2" s="1"/>
  <c r="N8" i="2" s="1"/>
  <c r="N6" i="2" s="1"/>
  <c r="O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Wright</author>
  </authors>
  <commentList>
    <comment ref="G5" authorId="0" shapeId="0" xr:uid="{080E1515-A9B0-4AD3-B9E2-7AB4B75C8939}">
      <text>
        <r>
          <rPr>
            <b/>
            <sz val="9"/>
            <color indexed="81"/>
            <rFont val="Tahoma"/>
            <family val="2"/>
          </rPr>
          <t>Stephen Wright:</t>
        </r>
        <r>
          <rPr>
            <sz val="9"/>
            <color indexed="81"/>
            <rFont val="Tahoma"/>
            <family val="2"/>
          </rPr>
          <t xml:space="preserve">
((Wf-Wi)/(100/Gs+Wi)) *500</t>
        </r>
      </text>
    </comment>
    <comment ref="A6" authorId="0" shapeId="0" xr:uid="{A2EF8C75-D01B-4C27-80A4-37EA1A41AC5A}">
      <text>
        <r>
          <rPr>
            <b/>
            <sz val="9"/>
            <color indexed="81"/>
            <rFont val="Tahoma"/>
            <family val="2"/>
          </rPr>
          <t>Stephen Wright:</t>
        </r>
        <r>
          <rPr>
            <sz val="9"/>
            <color indexed="81"/>
            <rFont val="Tahoma"/>
            <family val="2"/>
          </rPr>
          <t xml:space="preserve">
Enter depth of USF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Wright</author>
  </authors>
  <commentList>
    <comment ref="I5" authorId="0" shapeId="0" xr:uid="{693FB08C-3A97-452A-AF59-E1FB8283EC24}">
      <text>
        <r>
          <rPr>
            <b/>
            <sz val="9"/>
            <color indexed="81"/>
            <rFont val="Tahoma"/>
            <family val="2"/>
          </rPr>
          <t>Stephen Wright:</t>
        </r>
        <r>
          <rPr>
            <sz val="9"/>
            <color indexed="81"/>
            <rFont val="Tahoma"/>
            <family val="2"/>
          </rPr>
          <t xml:space="preserve">
P'f= ((1+2*2.5))/3)*((20*DEPTH)-((9.8*(DEPTH-1.5))))</t>
        </r>
      </text>
    </comment>
    <comment ref="M5" authorId="0" shapeId="0" xr:uid="{EA393812-446B-4D96-B17F-BC1BE2EC3670}">
      <text>
        <r>
          <rPr>
            <b/>
            <sz val="9"/>
            <color indexed="81"/>
            <rFont val="Tahoma"/>
            <family val="2"/>
          </rPr>
          <t>Stephen Wright:</t>
        </r>
        <r>
          <rPr>
            <sz val="9"/>
            <color indexed="81"/>
            <rFont val="Tahoma"/>
            <family val="2"/>
          </rPr>
          <t xml:space="preserve">
P'fav = (K/(1+ei))*layer thickness*log((p'fav+Pkav)/P'fav))) 
K= (Pl/430)-0.032 = 0.107 (PI =60%) ; e1 =0.8 assumes av moisture content at 29% </t>
        </r>
      </text>
    </comment>
    <comment ref="A6" authorId="0" shapeId="0" xr:uid="{2C414E6E-2214-43D0-BE56-4689473B6D9F}">
      <text>
        <r>
          <rPr>
            <b/>
            <sz val="9"/>
            <color indexed="81"/>
            <rFont val="Tahoma"/>
            <family val="2"/>
          </rPr>
          <t>Stephen Wright:</t>
        </r>
        <r>
          <rPr>
            <sz val="9"/>
            <color indexed="81"/>
            <rFont val="Tahoma"/>
            <family val="2"/>
          </rPr>
          <t xml:space="preserve">
Enter depthof USF</t>
        </r>
      </text>
    </comment>
  </commentList>
</comments>
</file>

<file path=xl/sharedStrings.xml><?xml version="1.0" encoding="utf-8"?>
<sst xmlns="http://schemas.openxmlformats.org/spreadsheetml/2006/main" count="46" uniqueCount="36">
  <si>
    <t>Depth (m)</t>
  </si>
  <si>
    <t>Measured (gravimetric) water content (%)</t>
  </si>
  <si>
    <t>Layer Thickness (mm)</t>
  </si>
  <si>
    <t>Average layer water content (%)</t>
  </si>
  <si>
    <r>
      <t xml:space="preserve">Borehole 1 (control) </t>
    </r>
    <r>
      <rPr>
        <b/>
        <sz val="11"/>
        <color theme="1"/>
        <rFont val="Calibri"/>
        <family val="2"/>
        <scheme val="minor"/>
      </rPr>
      <t>Wf</t>
    </r>
  </si>
  <si>
    <r>
      <t xml:space="preserve">Borehole 2 </t>
    </r>
    <r>
      <rPr>
        <b/>
        <sz val="11"/>
        <color theme="1"/>
        <rFont val="Calibri"/>
        <family val="2"/>
        <scheme val="minor"/>
      </rPr>
      <t>Wi</t>
    </r>
  </si>
  <si>
    <t>Layer water deficiency (mm)</t>
  </si>
  <si>
    <t>Cumulative water deficiency (mm)</t>
  </si>
  <si>
    <t>wsf=4</t>
  </si>
  <si>
    <t>USF assumed as 1.0</t>
  </si>
  <si>
    <t>Estimated Heave Potential (mm)</t>
  </si>
  <si>
    <t>Measured soil suctions (kPa) Pk</t>
  </si>
  <si>
    <t xml:space="preserve">Excess suction (Kpa) </t>
  </si>
  <si>
    <t>Borehole 1 (control) Pk1</t>
  </si>
  <si>
    <t>Borehole 2 Pk2</t>
  </si>
  <si>
    <t>(Pk2 -Pk1)</t>
  </si>
  <si>
    <t>Layer thickness (mm)</t>
  </si>
  <si>
    <t>Equilibrium mean effective stress insitu (kPa) P'f</t>
  </si>
  <si>
    <t>Average layer excess suction (kPa) Pkav</t>
  </si>
  <si>
    <t>Av layer equilibrium mean effective stress (kPa) P'fav</t>
  </si>
  <si>
    <t>Soil PI%</t>
  </si>
  <si>
    <t>K</t>
  </si>
  <si>
    <t>K=(PI/430)-0.032</t>
  </si>
  <si>
    <t>Locked</t>
  </si>
  <si>
    <t>Open</t>
  </si>
  <si>
    <t>Moisture Content Method 
for Calculating Heave Potential</t>
  </si>
  <si>
    <t>Hidden &amp; Locked</t>
  </si>
  <si>
    <t>Soil Suction Method 
for Calculating Heave Potential</t>
  </si>
  <si>
    <t>Locked and Hidden</t>
  </si>
  <si>
    <t>ei</t>
  </si>
  <si>
    <t>Measured moisture contents (%)</t>
  </si>
  <si>
    <t>Borehole 1 (control) Wf</t>
  </si>
  <si>
    <t>Borehole 2 Wi</t>
  </si>
  <si>
    <t>Wi av</t>
  </si>
  <si>
    <t>Average Layer Moisture Content</t>
  </si>
  <si>
    <t>ei=(GsWi av)/100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</si>
</sst>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1" fontId="0" fillId="2" borderId="1" xfId="0" applyNumberFormat="1" applyFill="1" applyBorder="1"/>
    <xf numFmtId="0" fontId="1" fillId="0" borderId="1" xfId="0" applyFont="1" applyBorder="1" applyAlignment="1">
      <alignment wrapText="1"/>
    </xf>
    <xf numFmtId="164" fontId="0" fillId="0" borderId="3" xfId="0" applyNumberFormat="1" applyBorder="1"/>
    <xf numFmtId="0" fontId="0" fillId="0" borderId="4" xfId="0" applyBorder="1"/>
    <xf numFmtId="164" fontId="0" fillId="0" borderId="6" xfId="0" applyNumberFormat="1" applyBorder="1"/>
    <xf numFmtId="1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1" fontId="5" fillId="0" borderId="7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horizontal="center" wrapText="1"/>
    </xf>
    <xf numFmtId="0" fontId="0" fillId="3" borderId="1" xfId="0" applyFill="1" applyBorder="1"/>
    <xf numFmtId="0" fontId="0" fillId="4" borderId="1" xfId="0" applyFill="1" applyBorder="1"/>
    <xf numFmtId="0" fontId="0" fillId="4" borderId="0" xfId="0" applyFill="1"/>
    <xf numFmtId="0" fontId="0" fillId="3" borderId="0" xfId="0" applyFill="1"/>
    <xf numFmtId="0" fontId="1" fillId="4" borderId="0" xfId="0" applyFont="1" applyFill="1"/>
    <xf numFmtId="0" fontId="1" fillId="3" borderId="0" xfId="0" applyFont="1" applyFill="1"/>
    <xf numFmtId="0" fontId="0" fillId="5" borderId="0" xfId="0" applyFill="1"/>
    <xf numFmtId="0" fontId="1" fillId="5" borderId="0" xfId="0" applyFont="1" applyFill="1"/>
    <xf numFmtId="0" fontId="0" fillId="5" borderId="1" xfId="0" applyFill="1" applyBorder="1"/>
    <xf numFmtId="0" fontId="1" fillId="0" borderId="0" xfId="0" applyFont="1" applyAlignment="1">
      <alignment wrapText="1"/>
    </xf>
    <xf numFmtId="2" fontId="0" fillId="0" borderId="0" xfId="0" applyNumberFormat="1"/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5" xfId="0" applyFill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/>
    <xf numFmtId="0" fontId="2" fillId="0" borderId="8" xfId="0" applyFont="1" applyBorder="1" applyAlignment="1">
      <alignment vertical="top" wrapText="1"/>
    </xf>
    <xf numFmtId="0" fontId="0" fillId="0" borderId="8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271809.png@E51213D6.079102CA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271809.png@E51213D6.079102CA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</xdr:row>
      <xdr:rowOff>208966</xdr:rowOff>
    </xdr:from>
    <xdr:to>
      <xdr:col>8</xdr:col>
      <xdr:colOff>1849436</xdr:colOff>
      <xdr:row>1</xdr:row>
      <xdr:rowOff>1257300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0BB5CA-7F64-4ACA-AC47-126913B31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99466"/>
          <a:ext cx="1697036" cy="1048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83819</xdr:colOff>
      <xdr:row>1</xdr:row>
      <xdr:rowOff>161924</xdr:rowOff>
    </xdr:from>
    <xdr:to>
      <xdr:col>14</xdr:col>
      <xdr:colOff>1746884</xdr:colOff>
      <xdr:row>1</xdr:row>
      <xdr:rowOff>1085849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BA9FA-927E-2A65-5B18-6BE458E93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5344" y="352424"/>
          <a:ext cx="166306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D59D-01CD-4251-AD3B-E0CC1D12C75C}">
  <dimension ref="A2:V34"/>
  <sheetViews>
    <sheetView topLeftCell="A2" workbookViewId="0">
      <selection activeCell="B14" sqref="B14"/>
    </sheetView>
  </sheetViews>
  <sheetFormatPr defaultRowHeight="14.5" x14ac:dyDescent="0.35"/>
  <cols>
    <col min="1" max="1" width="13.54296875" customWidth="1"/>
    <col min="2" max="3" width="10.54296875" customWidth="1"/>
    <col min="4" max="4" width="10.453125" customWidth="1"/>
    <col min="5" max="5" width="10.453125" hidden="1" customWidth="1"/>
    <col min="6" max="6" width="12" hidden="1" customWidth="1"/>
    <col min="7" max="7" width="12.1796875" hidden="1" customWidth="1"/>
    <col min="8" max="8" width="12.54296875" hidden="1" customWidth="1"/>
    <col min="9" max="9" width="29.54296875" customWidth="1"/>
    <col min="11" max="12" width="0" hidden="1" customWidth="1"/>
  </cols>
  <sheetData>
    <row r="2" spans="1:22" ht="116.25" customHeight="1" x14ac:dyDescent="0.35">
      <c r="A2" s="36" t="s">
        <v>25</v>
      </c>
      <c r="B2" s="37"/>
      <c r="C2" s="37"/>
      <c r="D2" s="37"/>
    </row>
    <row r="3" spans="1:22" x14ac:dyDescent="0.35">
      <c r="A3" s="22">
        <v>1</v>
      </c>
      <c r="B3" s="22">
        <v>2</v>
      </c>
      <c r="C3" s="22">
        <v>3</v>
      </c>
      <c r="D3" s="22">
        <v>4</v>
      </c>
      <c r="E3" s="25">
        <v>5</v>
      </c>
      <c r="F3" s="25">
        <v>6</v>
      </c>
      <c r="G3" s="25">
        <v>7</v>
      </c>
      <c r="H3" s="25">
        <v>8</v>
      </c>
      <c r="I3" s="21">
        <v>9</v>
      </c>
    </row>
    <row r="4" spans="1:22" ht="43.5" customHeight="1" x14ac:dyDescent="0.35">
      <c r="A4" s="9" t="s">
        <v>0</v>
      </c>
      <c r="B4" s="35" t="s">
        <v>1</v>
      </c>
      <c r="C4" s="35"/>
      <c r="D4" s="9" t="s">
        <v>2</v>
      </c>
      <c r="E4" s="35" t="s">
        <v>3</v>
      </c>
      <c r="F4" s="35"/>
      <c r="G4" s="9" t="s">
        <v>6</v>
      </c>
      <c r="H4" s="9" t="s">
        <v>7</v>
      </c>
      <c r="I4" s="9" t="s">
        <v>10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44" thickBot="1" x14ac:dyDescent="0.4">
      <c r="A5" s="2" t="s">
        <v>9</v>
      </c>
      <c r="B5" s="2" t="s">
        <v>4</v>
      </c>
      <c r="C5" s="2" t="s">
        <v>5</v>
      </c>
      <c r="D5" s="3"/>
      <c r="E5" s="2" t="s">
        <v>4</v>
      </c>
      <c r="F5" s="2" t="s">
        <v>5</v>
      </c>
      <c r="G5" s="3"/>
      <c r="H5" s="3"/>
      <c r="I5" s="11" t="s">
        <v>8</v>
      </c>
      <c r="K5" s="1"/>
      <c r="L5" s="1"/>
      <c r="M5" s="1"/>
      <c r="N5" s="1"/>
      <c r="O5" s="1"/>
      <c r="P5" s="1"/>
      <c r="Q5" s="1"/>
      <c r="R5" s="1"/>
    </row>
    <row r="6" spans="1:22" ht="24" thickBot="1" x14ac:dyDescent="0.6">
      <c r="A6" s="30">
        <v>1.3</v>
      </c>
      <c r="B6" s="31">
        <v>26</v>
      </c>
      <c r="C6" s="31">
        <v>23</v>
      </c>
      <c r="D6" s="32"/>
      <c r="E6" s="7"/>
      <c r="F6" s="7"/>
      <c r="G6" s="7"/>
      <c r="H6" s="10">
        <f>H8+G7</f>
        <v>254.86527875501844</v>
      </c>
      <c r="I6" s="16">
        <f>H6/4</f>
        <v>63.716319688754609</v>
      </c>
    </row>
    <row r="7" spans="1:22" x14ac:dyDescent="0.35">
      <c r="A7" s="6"/>
      <c r="B7" s="7"/>
      <c r="C7" s="7"/>
      <c r="D7" s="33">
        <f>(A8-A6)*1000</f>
        <v>700</v>
      </c>
      <c r="E7" s="3">
        <f>(B8+B6)/2</f>
        <v>26</v>
      </c>
      <c r="F7" s="3">
        <f>(C8+C6)/2</f>
        <v>23</v>
      </c>
      <c r="G7" s="4">
        <f>((E7-F7)/(100/2.75+F7))*D7</f>
        <v>35.375191424196018</v>
      </c>
      <c r="H7" s="7"/>
      <c r="I7" s="34"/>
    </row>
    <row r="8" spans="1:22" x14ac:dyDescent="0.35">
      <c r="A8" s="30">
        <v>2</v>
      </c>
      <c r="B8" s="31">
        <v>26</v>
      </c>
      <c r="C8" s="31">
        <v>23</v>
      </c>
      <c r="D8" s="8"/>
      <c r="E8" s="8"/>
      <c r="F8" s="8"/>
      <c r="G8" s="8"/>
      <c r="H8" s="4">
        <f>H10+G9</f>
        <v>219.4900873308224</v>
      </c>
      <c r="I8" s="7"/>
    </row>
    <row r="9" spans="1:22" x14ac:dyDescent="0.35">
      <c r="A9" s="6"/>
      <c r="B9" s="7"/>
      <c r="C9" s="7"/>
      <c r="D9" s="33">
        <f t="shared" ref="D9:D13" si="0">(A10-A8)*1000</f>
        <v>1000</v>
      </c>
      <c r="E9" s="3">
        <f t="shared" ref="E9:E23" si="1">(B10+B8)/2</f>
        <v>25</v>
      </c>
      <c r="F9" s="3">
        <f t="shared" ref="F9:F23" si="2">(C10+C8)/2</f>
        <v>23</v>
      </c>
      <c r="G9" s="4">
        <f>((E9-F9)/(100/2.75+F9))*D9</f>
        <v>33.690658499234296</v>
      </c>
      <c r="H9" s="7"/>
      <c r="I9" s="7"/>
      <c r="K9" s="24" t="s">
        <v>24</v>
      </c>
    </row>
    <row r="10" spans="1:22" x14ac:dyDescent="0.35">
      <c r="A10" s="30">
        <v>3</v>
      </c>
      <c r="B10" s="31">
        <v>24</v>
      </c>
      <c r="C10" s="31">
        <v>23</v>
      </c>
      <c r="D10" s="8"/>
      <c r="E10" s="8"/>
      <c r="F10" s="8"/>
      <c r="G10" s="8"/>
      <c r="H10" s="4">
        <f>H12+G11</f>
        <v>185.7994288315881</v>
      </c>
      <c r="I10" s="7"/>
    </row>
    <row r="11" spans="1:22" x14ac:dyDescent="0.35">
      <c r="A11" s="6"/>
      <c r="B11" s="7"/>
      <c r="C11" s="7"/>
      <c r="D11" s="33">
        <f t="shared" si="0"/>
        <v>1000</v>
      </c>
      <c r="E11" s="3">
        <f t="shared" si="1"/>
        <v>26</v>
      </c>
      <c r="F11" s="3">
        <f t="shared" si="2"/>
        <v>22.5</v>
      </c>
      <c r="G11" s="4">
        <f>((E11-F11)/(100/2.75+F11))*D11</f>
        <v>59.459459459459453</v>
      </c>
      <c r="H11" s="7"/>
      <c r="I11" s="7"/>
      <c r="K11" s="26" t="s">
        <v>26</v>
      </c>
      <c r="L11" s="25"/>
    </row>
    <row r="12" spans="1:22" x14ac:dyDescent="0.35">
      <c r="A12" s="30">
        <v>4</v>
      </c>
      <c r="B12" s="31">
        <v>28</v>
      </c>
      <c r="C12" s="31">
        <v>22</v>
      </c>
      <c r="D12" s="8"/>
      <c r="E12" s="8"/>
      <c r="F12" s="8"/>
      <c r="G12" s="8"/>
      <c r="H12" s="4">
        <f>H14+G13</f>
        <v>126.33996937212864</v>
      </c>
      <c r="I12" s="7"/>
    </row>
    <row r="13" spans="1:22" x14ac:dyDescent="0.35">
      <c r="A13" s="6"/>
      <c r="B13" s="7"/>
      <c r="C13" s="7"/>
      <c r="D13" s="33">
        <f t="shared" si="0"/>
        <v>1000</v>
      </c>
      <c r="E13" s="3">
        <f t="shared" si="1"/>
        <v>30.5</v>
      </c>
      <c r="F13" s="3">
        <f t="shared" si="2"/>
        <v>23</v>
      </c>
      <c r="G13" s="4">
        <f>((E13-F13)/(100/2.75+F13))*D13</f>
        <v>126.33996937212864</v>
      </c>
      <c r="H13" s="7"/>
      <c r="I13" s="7"/>
      <c r="K13" s="23" t="s">
        <v>23</v>
      </c>
    </row>
    <row r="14" spans="1:22" x14ac:dyDescent="0.35">
      <c r="A14" s="30">
        <v>5</v>
      </c>
      <c r="B14" s="31">
        <v>33</v>
      </c>
      <c r="C14" s="31">
        <v>24</v>
      </c>
      <c r="D14" s="8"/>
      <c r="E14" s="8"/>
      <c r="F14" s="8"/>
      <c r="G14" s="8"/>
      <c r="H14" s="4">
        <f>H16+G15</f>
        <v>0</v>
      </c>
      <c r="I14" s="7"/>
    </row>
    <row r="15" spans="1:22" x14ac:dyDescent="0.35">
      <c r="A15" s="6"/>
      <c r="B15" s="7"/>
      <c r="C15" s="7"/>
      <c r="D15" s="33"/>
      <c r="E15" s="3">
        <f t="shared" si="1"/>
        <v>16.5</v>
      </c>
      <c r="F15" s="3">
        <f t="shared" si="2"/>
        <v>12</v>
      </c>
      <c r="G15" s="4">
        <f>((E15-F15)/(100/2.75+F15))*D15</f>
        <v>0</v>
      </c>
      <c r="H15" s="7"/>
      <c r="I15" s="7"/>
    </row>
    <row r="16" spans="1:22" x14ac:dyDescent="0.35">
      <c r="A16" s="30"/>
      <c r="B16" s="31"/>
      <c r="C16" s="31"/>
      <c r="D16" s="8"/>
      <c r="E16" s="7"/>
      <c r="F16" s="7"/>
      <c r="G16" s="7"/>
      <c r="H16" s="4">
        <f>H18+G17</f>
        <v>0</v>
      </c>
      <c r="I16" s="7"/>
    </row>
    <row r="17" spans="1:9" x14ac:dyDescent="0.35">
      <c r="A17" s="6"/>
      <c r="B17" s="7"/>
      <c r="C17" s="7"/>
      <c r="D17" s="33"/>
      <c r="E17" s="3">
        <f t="shared" si="1"/>
        <v>0</v>
      </c>
      <c r="F17" s="3">
        <f t="shared" si="2"/>
        <v>0</v>
      </c>
      <c r="G17" s="4">
        <f>((E17-F17)/(100/2.75+F17))*D17</f>
        <v>0</v>
      </c>
      <c r="H17" s="7"/>
      <c r="I17" s="7"/>
    </row>
    <row r="18" spans="1:9" x14ac:dyDescent="0.35">
      <c r="A18" s="30"/>
      <c r="B18" s="31"/>
      <c r="C18" s="31"/>
      <c r="D18" s="8"/>
      <c r="E18" s="7"/>
      <c r="F18" s="7"/>
      <c r="G18" s="7"/>
      <c r="H18" s="4">
        <f>H20+G19</f>
        <v>0</v>
      </c>
      <c r="I18" s="7"/>
    </row>
    <row r="19" spans="1:9" x14ac:dyDescent="0.35">
      <c r="A19" s="6"/>
      <c r="B19" s="7"/>
      <c r="C19" s="7"/>
      <c r="D19" s="33"/>
      <c r="E19" s="3">
        <f t="shared" si="1"/>
        <v>0</v>
      </c>
      <c r="F19" s="3">
        <f t="shared" si="2"/>
        <v>0</v>
      </c>
      <c r="G19" s="4">
        <f>((E19-F19)/(100/2.75+F19))*D19</f>
        <v>0</v>
      </c>
      <c r="H19" s="7"/>
      <c r="I19" s="7"/>
    </row>
    <row r="20" spans="1:9" x14ac:dyDescent="0.35">
      <c r="A20" s="30"/>
      <c r="B20" s="31"/>
      <c r="C20" s="31"/>
      <c r="D20" s="8"/>
      <c r="E20" s="7"/>
      <c r="F20" s="7"/>
      <c r="G20" s="7"/>
      <c r="H20" s="4">
        <f>H22+G21</f>
        <v>0</v>
      </c>
      <c r="I20" s="7"/>
    </row>
    <row r="21" spans="1:9" x14ac:dyDescent="0.35">
      <c r="A21" s="6"/>
      <c r="B21" s="7"/>
      <c r="C21" s="7"/>
      <c r="D21" s="33"/>
      <c r="E21" s="3">
        <f t="shared" si="1"/>
        <v>0</v>
      </c>
      <c r="F21" s="3">
        <f t="shared" si="2"/>
        <v>0</v>
      </c>
      <c r="G21" s="4">
        <f>((E21-F21)/(100/2.75+F21))*D21</f>
        <v>0</v>
      </c>
      <c r="H21" s="7"/>
      <c r="I21" s="7"/>
    </row>
    <row r="22" spans="1:9" x14ac:dyDescent="0.35">
      <c r="A22" s="30"/>
      <c r="B22" s="31"/>
      <c r="C22" s="31"/>
      <c r="D22" s="8"/>
      <c r="E22" s="7"/>
      <c r="F22" s="7"/>
      <c r="G22" s="7"/>
      <c r="H22" s="4">
        <f>H24+G23</f>
        <v>0</v>
      </c>
      <c r="I22" s="7"/>
    </row>
    <row r="23" spans="1:9" x14ac:dyDescent="0.35">
      <c r="A23" s="6"/>
      <c r="B23" s="7"/>
      <c r="C23" s="7"/>
      <c r="D23" s="33"/>
      <c r="E23" s="3">
        <f t="shared" si="1"/>
        <v>0</v>
      </c>
      <c r="F23" s="3">
        <f t="shared" si="2"/>
        <v>0</v>
      </c>
      <c r="G23" s="4">
        <f>((E23-F23)/(100/2.75+F23))*D23</f>
        <v>0</v>
      </c>
      <c r="H23" s="7"/>
      <c r="I23" s="7"/>
    </row>
    <row r="24" spans="1:9" x14ac:dyDescent="0.35">
      <c r="A24" s="30"/>
      <c r="B24" s="31"/>
      <c r="C24" s="31"/>
      <c r="D24" s="8"/>
      <c r="E24" s="7"/>
      <c r="F24" s="7"/>
      <c r="G24" s="6"/>
      <c r="H24" s="3">
        <v>0</v>
      </c>
      <c r="I24" s="7"/>
    </row>
    <row r="25" spans="1:9" x14ac:dyDescent="0.35">
      <c r="A25" s="6"/>
      <c r="B25" s="7"/>
      <c r="C25" s="7"/>
      <c r="D25" s="33"/>
      <c r="E25" s="3"/>
      <c r="F25" s="3"/>
      <c r="G25" s="3"/>
      <c r="H25" s="7"/>
      <c r="I25" s="7"/>
    </row>
    <row r="26" spans="1:9" x14ac:dyDescent="0.35">
      <c r="A26" s="30"/>
      <c r="B26" s="31"/>
      <c r="C26" s="31"/>
      <c r="D26" s="8"/>
      <c r="E26" s="7"/>
      <c r="F26" s="7"/>
      <c r="G26" s="7"/>
      <c r="H26" s="3"/>
      <c r="I26" s="7"/>
    </row>
    <row r="27" spans="1:9" x14ac:dyDescent="0.35">
      <c r="A27" s="6"/>
      <c r="B27" s="7"/>
      <c r="C27" s="7"/>
      <c r="D27" s="31"/>
      <c r="E27" s="3"/>
      <c r="F27" s="3"/>
      <c r="G27" s="3"/>
      <c r="H27" s="7"/>
      <c r="I27" s="7"/>
    </row>
    <row r="28" spans="1:9" x14ac:dyDescent="0.35">
      <c r="A28" s="30"/>
      <c r="B28" s="31"/>
      <c r="C28" s="31"/>
      <c r="D28" s="7"/>
      <c r="E28" s="7"/>
      <c r="F28" s="7"/>
      <c r="G28" s="7"/>
      <c r="H28" s="3"/>
      <c r="I28" s="7"/>
    </row>
    <row r="29" spans="1:9" x14ac:dyDescent="0.35">
      <c r="A29" s="6"/>
      <c r="B29" s="7"/>
      <c r="C29" s="7"/>
      <c r="D29" s="31"/>
      <c r="E29" s="3"/>
      <c r="F29" s="3"/>
      <c r="G29" s="3"/>
      <c r="H29" s="7"/>
      <c r="I29" s="7"/>
    </row>
    <row r="30" spans="1:9" x14ac:dyDescent="0.35">
      <c r="A30" s="30">
        <v>7</v>
      </c>
      <c r="B30" s="31"/>
      <c r="C30" s="31"/>
      <c r="D30" s="7"/>
      <c r="E30" s="7"/>
      <c r="F30" s="7"/>
      <c r="G30" s="7"/>
      <c r="H30" s="3"/>
      <c r="I30" s="7"/>
    </row>
    <row r="31" spans="1:9" x14ac:dyDescent="0.35">
      <c r="A31" s="6"/>
      <c r="B31" s="7"/>
      <c r="C31" s="7"/>
      <c r="D31" s="31"/>
      <c r="E31" s="3"/>
      <c r="F31" s="3"/>
      <c r="G31" s="3"/>
      <c r="H31" s="7"/>
      <c r="I31" s="7"/>
    </row>
    <row r="32" spans="1:9" x14ac:dyDescent="0.35">
      <c r="A32" s="30">
        <v>7.5</v>
      </c>
      <c r="B32" s="31"/>
      <c r="C32" s="31"/>
      <c r="D32" s="7"/>
      <c r="E32" s="7"/>
      <c r="F32" s="7"/>
      <c r="G32" s="7"/>
      <c r="H32" s="3"/>
      <c r="I32" s="7"/>
    </row>
    <row r="33" spans="1:9" x14ac:dyDescent="0.35">
      <c r="A33" s="6"/>
      <c r="B33" s="7"/>
      <c r="C33" s="7"/>
      <c r="D33" s="31"/>
      <c r="E33" s="3"/>
      <c r="F33" s="3"/>
      <c r="G33" s="3"/>
      <c r="H33" s="7"/>
      <c r="I33" s="7"/>
    </row>
    <row r="34" spans="1:9" x14ac:dyDescent="0.35">
      <c r="A34" s="30">
        <v>8</v>
      </c>
      <c r="B34" s="31"/>
      <c r="C34" s="31"/>
      <c r="D34" s="7"/>
      <c r="E34" s="7"/>
      <c r="F34" s="7"/>
      <c r="G34" s="7"/>
      <c r="H34" s="3"/>
      <c r="I34" s="7"/>
    </row>
  </sheetData>
  <sheetProtection algorithmName="SHA-512" hashValue="bZVN2YxjArWaAC/Yry1l7IVe62qTuADCTRwxTAEVNfSb2XXdXH7WhhyR/jKfLwvIFSWA3SYaIOeHLocAIk5htg==" saltValue="f/vPC/QxKMIeFs/oDd5cjA==" spinCount="100000" sheet="1" objects="1" scenarios="1" selectLockedCells="1"/>
  <mergeCells count="3">
    <mergeCell ref="B4:C4"/>
    <mergeCell ref="E4:F4"/>
    <mergeCell ref="A2:D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F797-44A0-4742-AEDA-A6963600F733}">
  <dimension ref="A2:AC22"/>
  <sheetViews>
    <sheetView tabSelected="1" topLeftCell="A2" workbookViewId="0">
      <selection activeCell="B6" sqref="B6"/>
    </sheetView>
  </sheetViews>
  <sheetFormatPr defaultRowHeight="14.5" x14ac:dyDescent="0.35"/>
  <cols>
    <col min="1" max="1" width="11.81640625" customWidth="1"/>
    <col min="2" max="2" width="9.453125" customWidth="1"/>
    <col min="3" max="6" width="10.54296875" customWidth="1"/>
    <col min="7" max="7" width="10.54296875" hidden="1" customWidth="1"/>
    <col min="8" max="8" width="11" hidden="1" customWidth="1"/>
    <col min="9" max="9" width="29.54296875" hidden="1" customWidth="1"/>
    <col min="10" max="10" width="12" customWidth="1"/>
    <col min="11" max="11" width="12" hidden="1" customWidth="1"/>
    <col min="12" max="12" width="16.54296875" hidden="1" customWidth="1"/>
    <col min="13" max="14" width="12.54296875" hidden="1" customWidth="1"/>
    <col min="15" max="15" width="27" customWidth="1"/>
    <col min="16" max="16" width="3.54296875" customWidth="1"/>
    <col min="17" max="17" width="16.1796875" hidden="1" customWidth="1"/>
    <col min="18" max="18" width="16.453125" hidden="1" customWidth="1"/>
    <col min="19" max="19" width="5" hidden="1" customWidth="1"/>
    <col min="20" max="21" width="0" hidden="1" customWidth="1"/>
  </cols>
  <sheetData>
    <row r="2" spans="1:29" ht="98.25" customHeight="1" x14ac:dyDescent="0.35">
      <c r="A2" s="38" t="s">
        <v>27</v>
      </c>
      <c r="B2" s="39"/>
      <c r="C2" s="39"/>
      <c r="D2" s="39"/>
      <c r="E2" s="14"/>
      <c r="F2" s="14"/>
      <c r="G2" s="14"/>
      <c r="H2" s="14"/>
      <c r="I2" s="14"/>
    </row>
    <row r="3" spans="1:29" x14ac:dyDescent="0.35">
      <c r="A3" s="19">
        <v>1</v>
      </c>
      <c r="B3" s="19"/>
      <c r="C3" s="19">
        <v>2</v>
      </c>
      <c r="D3" s="19">
        <v>3</v>
      </c>
      <c r="E3" s="19"/>
      <c r="F3" s="19"/>
      <c r="G3" s="27"/>
      <c r="H3" s="27">
        <v>4</v>
      </c>
      <c r="I3" s="27">
        <v>5</v>
      </c>
      <c r="J3" s="19">
        <v>6</v>
      </c>
      <c r="K3" s="27">
        <v>7</v>
      </c>
      <c r="L3" s="27">
        <v>8</v>
      </c>
      <c r="M3" s="27">
        <v>9</v>
      </c>
      <c r="N3" s="27">
        <v>10</v>
      </c>
      <c r="O3" s="20">
        <v>11</v>
      </c>
      <c r="Q3" s="25"/>
      <c r="R3" s="25"/>
    </row>
    <row r="4" spans="1:29" ht="96.75" customHeight="1" x14ac:dyDescent="0.35">
      <c r="A4" s="9" t="s">
        <v>0</v>
      </c>
      <c r="B4" s="9" t="s">
        <v>20</v>
      </c>
      <c r="C4" s="35" t="s">
        <v>11</v>
      </c>
      <c r="D4" s="35"/>
      <c r="E4" s="35" t="s">
        <v>30</v>
      </c>
      <c r="F4" s="35"/>
      <c r="G4" s="9" t="s">
        <v>34</v>
      </c>
      <c r="H4" s="9" t="s">
        <v>12</v>
      </c>
      <c r="I4" s="9" t="s">
        <v>17</v>
      </c>
      <c r="J4" s="9" t="s">
        <v>16</v>
      </c>
      <c r="K4" s="9" t="s">
        <v>18</v>
      </c>
      <c r="L4" s="9" t="s">
        <v>19</v>
      </c>
      <c r="M4" s="9" t="s">
        <v>6</v>
      </c>
      <c r="N4" s="9" t="s">
        <v>7</v>
      </c>
      <c r="O4" s="9" t="s">
        <v>10</v>
      </c>
      <c r="P4" s="1"/>
      <c r="Q4" s="28" t="s">
        <v>29</v>
      </c>
      <c r="R4" s="18" t="s">
        <v>21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44" thickBot="1" x14ac:dyDescent="0.4">
      <c r="A5" s="2" t="s">
        <v>9</v>
      </c>
      <c r="B5" s="2"/>
      <c r="C5" s="2" t="s">
        <v>13</v>
      </c>
      <c r="D5" s="2" t="s">
        <v>14</v>
      </c>
      <c r="E5" s="2" t="s">
        <v>31</v>
      </c>
      <c r="F5" s="2" t="s">
        <v>32</v>
      </c>
      <c r="G5" s="2" t="s">
        <v>33</v>
      </c>
      <c r="H5" s="3" t="s">
        <v>15</v>
      </c>
      <c r="I5" s="2"/>
      <c r="J5" s="2"/>
      <c r="K5" s="2"/>
      <c r="L5" s="2"/>
      <c r="M5" s="2"/>
      <c r="N5" s="3"/>
      <c r="O5" s="11" t="s">
        <v>8</v>
      </c>
      <c r="Q5" t="s">
        <v>35</v>
      </c>
      <c r="R5" s="1" t="s">
        <v>22</v>
      </c>
      <c r="S5" s="1"/>
      <c r="T5" s="1"/>
      <c r="U5" s="1"/>
      <c r="V5" s="1"/>
      <c r="W5" s="1"/>
      <c r="X5" s="1"/>
      <c r="Y5" s="1"/>
    </row>
    <row r="6" spans="1:29" ht="23.5" x14ac:dyDescent="0.55000000000000004">
      <c r="A6" s="30">
        <v>1.3</v>
      </c>
      <c r="B6" s="30">
        <v>33</v>
      </c>
      <c r="C6" s="31">
        <v>121</v>
      </c>
      <c r="D6" s="31">
        <v>937</v>
      </c>
      <c r="E6" s="31">
        <v>26</v>
      </c>
      <c r="F6" s="31">
        <v>23</v>
      </c>
      <c r="G6" s="7"/>
      <c r="H6" s="5">
        <f>D6-C6</f>
        <v>816</v>
      </c>
      <c r="I6" s="5">
        <f>((1+(2*2.5))/3)*((20*A6)-((9.8*(A6-1.5))))</f>
        <v>55.92</v>
      </c>
      <c r="J6" s="7"/>
      <c r="K6" s="7"/>
      <c r="L6" s="7"/>
      <c r="M6" s="7"/>
      <c r="N6" s="12">
        <f>N8+M7</f>
        <v>308.92332598203183</v>
      </c>
      <c r="O6" s="15">
        <f>N6/4</f>
        <v>77.230831495507957</v>
      </c>
      <c r="Q6" s="29"/>
      <c r="R6" s="17">
        <f>(B6/430)-0.032</f>
        <v>4.4744186046511633E-2</v>
      </c>
    </row>
    <row r="7" spans="1:29" ht="18.5" x14ac:dyDescent="0.45">
      <c r="A7" s="6"/>
      <c r="B7" s="6"/>
      <c r="C7" s="7"/>
      <c r="D7" s="7"/>
      <c r="E7" s="7"/>
      <c r="F7" s="7"/>
      <c r="G7" s="3">
        <f>(F6+F8)/2</f>
        <v>23</v>
      </c>
      <c r="H7" s="8"/>
      <c r="I7" s="8"/>
      <c r="J7" s="31">
        <v>700</v>
      </c>
      <c r="K7" s="3">
        <f>(H6+H8)/2</f>
        <v>1011</v>
      </c>
      <c r="L7" s="5">
        <f>(I6+I8)/2</f>
        <v>57.96</v>
      </c>
      <c r="M7" s="5">
        <f>(R6/(1+Q7)*J7*LN((L7+K7)/L7))</f>
        <v>55.920827708667794</v>
      </c>
      <c r="N7" s="6"/>
      <c r="O7" s="13"/>
      <c r="Q7" s="29">
        <f>(2.75*G7)/100</f>
        <v>0.63249999999999995</v>
      </c>
      <c r="R7" s="17"/>
      <c r="T7" s="24" t="s">
        <v>24</v>
      </c>
    </row>
    <row r="8" spans="1:29" ht="18.5" x14ac:dyDescent="0.45">
      <c r="A8" s="30">
        <v>2</v>
      </c>
      <c r="B8" s="30">
        <v>35</v>
      </c>
      <c r="C8" s="31">
        <v>164</v>
      </c>
      <c r="D8" s="31">
        <v>1370</v>
      </c>
      <c r="E8" s="31">
        <v>26</v>
      </c>
      <c r="F8" s="31">
        <v>23</v>
      </c>
      <c r="G8" s="7"/>
      <c r="H8" s="5">
        <f t="shared" ref="H8" si="0">D8-C8</f>
        <v>1206</v>
      </c>
      <c r="I8" s="5">
        <f>((1+(2*2.5))/3)*((20*1.5)-((9.8*(1.5-1.5))))</f>
        <v>60</v>
      </c>
      <c r="J8" s="7"/>
      <c r="K8" s="7"/>
      <c r="L8" s="7"/>
      <c r="M8" s="7"/>
      <c r="N8" s="4">
        <f>N10+M9</f>
        <v>253.00249827336404</v>
      </c>
      <c r="O8" s="13"/>
      <c r="Q8" s="29"/>
      <c r="R8" s="17">
        <f>(B8/430)-0.032</f>
        <v>4.9395348837209307E-2</v>
      </c>
    </row>
    <row r="9" spans="1:29" x14ac:dyDescent="0.35">
      <c r="A9" s="6"/>
      <c r="B9" s="6"/>
      <c r="C9" s="7"/>
      <c r="D9" s="7"/>
      <c r="E9" s="7"/>
      <c r="F9" s="7"/>
      <c r="G9" s="3">
        <f t="shared" ref="G9:G15" si="1">(F8+F10)/2</f>
        <v>23</v>
      </c>
      <c r="H9" s="7"/>
      <c r="I9" s="8"/>
      <c r="J9" s="33">
        <v>1000</v>
      </c>
      <c r="K9" s="4">
        <f>(H8+H10)/2</f>
        <v>1203</v>
      </c>
      <c r="L9" s="5">
        <f>(I8+I10)/2</f>
        <v>75.3</v>
      </c>
      <c r="M9" s="4">
        <f>(R8/(1+Q9)*J9*(LN((L9+K9)/L9)))</f>
        <v>85.683341989642173</v>
      </c>
      <c r="N9" s="7"/>
      <c r="O9" s="7"/>
      <c r="Q9" s="29">
        <f t="shared" ref="Q9:Q15" si="2">(2.75*G9)/100</f>
        <v>0.63249999999999995</v>
      </c>
      <c r="R9" s="17"/>
      <c r="T9" s="25" t="s">
        <v>28</v>
      </c>
      <c r="U9" s="25"/>
    </row>
    <row r="10" spans="1:29" x14ac:dyDescent="0.35">
      <c r="A10" s="30">
        <v>3</v>
      </c>
      <c r="B10" s="30">
        <v>40</v>
      </c>
      <c r="C10" s="31">
        <v>260</v>
      </c>
      <c r="D10" s="31">
        <v>1460</v>
      </c>
      <c r="E10" s="31">
        <v>24</v>
      </c>
      <c r="F10" s="31">
        <v>23</v>
      </c>
      <c r="G10" s="7"/>
      <c r="H10" s="5">
        <f t="shared" ref="H10:H16" si="3">D10-C10</f>
        <v>1200</v>
      </c>
      <c r="I10" s="5">
        <f>((1+(2*2.5))/3)*((20*A10)-((9.8*(A10-1.5))))</f>
        <v>90.6</v>
      </c>
      <c r="J10" s="8"/>
      <c r="K10" s="6"/>
      <c r="L10" s="8"/>
      <c r="M10" s="8"/>
      <c r="N10" s="4">
        <f>N12+M11</f>
        <v>167.31915628372187</v>
      </c>
      <c r="O10" s="7"/>
      <c r="Q10" s="29"/>
      <c r="R10" s="17">
        <f>(B10/430)-0.032</f>
        <v>6.1023255813953486E-2</v>
      </c>
    </row>
    <row r="11" spans="1:29" x14ac:dyDescent="0.35">
      <c r="A11" s="6"/>
      <c r="B11" s="6"/>
      <c r="C11" s="7"/>
      <c r="D11" s="7"/>
      <c r="E11" s="7"/>
      <c r="F11" s="7"/>
      <c r="G11" s="3">
        <f t="shared" si="1"/>
        <v>22.5</v>
      </c>
      <c r="H11" s="7"/>
      <c r="I11" s="8"/>
      <c r="J11" s="33">
        <v>1000</v>
      </c>
      <c r="K11" s="4">
        <f>(H10+H12)/2</f>
        <v>1120.5</v>
      </c>
      <c r="L11" s="5">
        <f>(I10+I12)/2</f>
        <v>100.8</v>
      </c>
      <c r="M11" s="4">
        <f>(R10/(1+Q11))*J11*(LN((L11+K11)/L11))</f>
        <v>94.038308874969843</v>
      </c>
      <c r="N11" s="7"/>
      <c r="O11" s="7"/>
      <c r="Q11" s="29">
        <f t="shared" si="2"/>
        <v>0.61875000000000002</v>
      </c>
      <c r="R11" s="17"/>
      <c r="T11" s="23" t="s">
        <v>23</v>
      </c>
    </row>
    <row r="12" spans="1:29" x14ac:dyDescent="0.35">
      <c r="A12" s="30">
        <v>4</v>
      </c>
      <c r="B12" s="30">
        <v>36</v>
      </c>
      <c r="C12" s="31">
        <v>429</v>
      </c>
      <c r="D12" s="31">
        <v>1470</v>
      </c>
      <c r="E12" s="31">
        <v>28</v>
      </c>
      <c r="F12" s="31">
        <v>22</v>
      </c>
      <c r="G12" s="7"/>
      <c r="H12" s="5">
        <f t="shared" si="3"/>
        <v>1041</v>
      </c>
      <c r="I12" s="5">
        <f>((1+(2*2.5))/3)*((20*A12)-((9.8*(A12-1.5))))</f>
        <v>111</v>
      </c>
      <c r="J12" s="8"/>
      <c r="K12" s="6"/>
      <c r="L12" s="8"/>
      <c r="M12" s="8"/>
      <c r="N12" s="4">
        <f>N14+M13</f>
        <v>73.280847408752024</v>
      </c>
      <c r="O12" s="7"/>
      <c r="Q12" s="29"/>
      <c r="R12" s="17">
        <f>(B12/430)-0.032</f>
        <v>5.1720930232558138E-2</v>
      </c>
    </row>
    <row r="13" spans="1:29" x14ac:dyDescent="0.35">
      <c r="A13" s="6"/>
      <c r="B13" s="6"/>
      <c r="C13" s="7"/>
      <c r="D13" s="7"/>
      <c r="E13" s="7"/>
      <c r="F13" s="7"/>
      <c r="G13" s="3">
        <f t="shared" si="1"/>
        <v>23</v>
      </c>
      <c r="H13" s="7"/>
      <c r="I13" s="8"/>
      <c r="J13" s="33">
        <v>1000</v>
      </c>
      <c r="K13" s="4">
        <f>(H12+H14)/2</f>
        <v>1103.5</v>
      </c>
      <c r="L13" s="5">
        <f>(I12+I14)/2</f>
        <v>121.19999999999999</v>
      </c>
      <c r="M13" s="4">
        <f>(R12/(1+Q13))*J13*(LN((L13+K13)/L13))</f>
        <v>73.280847408752024</v>
      </c>
      <c r="N13" s="7"/>
      <c r="O13" s="7"/>
      <c r="Q13" s="29">
        <f t="shared" si="2"/>
        <v>0.63249999999999995</v>
      </c>
      <c r="R13" s="17"/>
    </row>
    <row r="14" spans="1:29" x14ac:dyDescent="0.35">
      <c r="A14" s="30">
        <v>5</v>
      </c>
      <c r="B14" s="30">
        <v>41</v>
      </c>
      <c r="C14" s="31">
        <v>244</v>
      </c>
      <c r="D14" s="31">
        <v>1410</v>
      </c>
      <c r="E14" s="31">
        <v>33</v>
      </c>
      <c r="F14" s="31">
        <v>24</v>
      </c>
      <c r="G14" s="7"/>
      <c r="H14" s="5">
        <f t="shared" si="3"/>
        <v>1166</v>
      </c>
      <c r="I14" s="5">
        <f>((1+(2*2.5))/3)*((20*A14)-((9.8*(A14-1.5))))</f>
        <v>131.39999999999998</v>
      </c>
      <c r="J14" s="8"/>
      <c r="K14" s="6"/>
      <c r="L14" s="8"/>
      <c r="M14" s="7"/>
      <c r="N14" s="4">
        <f>N16+M15</f>
        <v>0</v>
      </c>
      <c r="O14" s="7"/>
      <c r="Q14" s="29"/>
      <c r="R14" s="17">
        <f>(B14/430)-0.032</f>
        <v>6.3348837209302331E-2</v>
      </c>
    </row>
    <row r="15" spans="1:29" x14ac:dyDescent="0.35">
      <c r="A15" s="6"/>
      <c r="B15" s="6"/>
      <c r="C15" s="7"/>
      <c r="D15" s="7"/>
      <c r="E15" s="7"/>
      <c r="F15" s="7"/>
      <c r="G15" s="3">
        <f t="shared" si="1"/>
        <v>12</v>
      </c>
      <c r="H15" s="7"/>
      <c r="I15" s="8"/>
      <c r="J15" s="33"/>
      <c r="K15" s="4">
        <f>(H14+H16)/2</f>
        <v>583</v>
      </c>
      <c r="L15" s="5">
        <f>(I14+I16)/2</f>
        <v>80.399999999999991</v>
      </c>
      <c r="M15" s="4">
        <f>(R14/(1+Q15))*J15*(LN((L15+K15)/L15))</f>
        <v>0</v>
      </c>
      <c r="N15" s="7"/>
      <c r="O15" s="7"/>
      <c r="Q15" s="29">
        <f t="shared" si="2"/>
        <v>0.33</v>
      </c>
      <c r="R15" s="17"/>
    </row>
    <row r="16" spans="1:29" x14ac:dyDescent="0.35">
      <c r="A16" s="30"/>
      <c r="B16" s="30"/>
      <c r="C16" s="31"/>
      <c r="D16" s="31"/>
      <c r="E16" s="31"/>
      <c r="F16" s="31"/>
      <c r="G16" s="7"/>
      <c r="H16" s="5">
        <f t="shared" si="3"/>
        <v>0</v>
      </c>
      <c r="I16" s="5">
        <f>((1+(2*2.5))/3)*((20*A16)-((9.8*(A16-1.5))))</f>
        <v>29.400000000000002</v>
      </c>
      <c r="J16" s="8"/>
      <c r="K16" s="6"/>
      <c r="L16" s="8"/>
      <c r="M16" s="7"/>
      <c r="N16" s="4">
        <v>0</v>
      </c>
      <c r="O16" s="7"/>
      <c r="Q16" s="29"/>
      <c r="R16" s="17">
        <f>(B16/430)-0.032</f>
        <v>-3.2000000000000001E-2</v>
      </c>
    </row>
    <row r="17" spans="1:18" x14ac:dyDescent="0.35">
      <c r="A17" s="6"/>
      <c r="B17" s="6"/>
      <c r="C17" s="7"/>
      <c r="D17" s="7"/>
      <c r="E17" s="7"/>
      <c r="F17" s="7"/>
      <c r="G17" s="7"/>
      <c r="H17" s="8"/>
      <c r="I17" s="8"/>
      <c r="J17" s="33"/>
      <c r="K17" s="5"/>
      <c r="L17" s="5"/>
      <c r="M17" s="3"/>
      <c r="N17" s="7"/>
      <c r="O17" s="7"/>
      <c r="Q17" s="29"/>
      <c r="R17" s="17"/>
    </row>
    <row r="18" spans="1:18" x14ac:dyDescent="0.35">
      <c r="A18" s="30"/>
      <c r="B18" s="30"/>
      <c r="C18" s="31"/>
      <c r="D18" s="31"/>
      <c r="E18" s="31"/>
      <c r="F18" s="31"/>
      <c r="G18" s="3"/>
      <c r="H18" s="3"/>
      <c r="I18" s="5"/>
      <c r="J18" s="7"/>
      <c r="K18" s="7"/>
      <c r="L18" s="7"/>
      <c r="M18" s="7"/>
      <c r="N18" s="3"/>
      <c r="O18" s="7"/>
      <c r="Q18" s="29"/>
      <c r="R18" s="17"/>
    </row>
    <row r="19" spans="1:18" x14ac:dyDescent="0.35">
      <c r="A19" s="6"/>
      <c r="B19" s="6"/>
      <c r="C19" s="7"/>
      <c r="D19" s="7"/>
      <c r="E19" s="7"/>
      <c r="F19" s="7"/>
      <c r="G19" s="7"/>
      <c r="H19" s="7"/>
      <c r="I19" s="8"/>
      <c r="J19" s="31"/>
      <c r="K19" s="3"/>
      <c r="L19" s="3"/>
      <c r="M19" s="3"/>
      <c r="N19" s="7"/>
      <c r="O19" s="7"/>
      <c r="Q19" s="29"/>
      <c r="R19" s="17"/>
    </row>
    <row r="20" spans="1:18" x14ac:dyDescent="0.35">
      <c r="A20" s="30"/>
      <c r="B20" s="30"/>
      <c r="C20" s="31"/>
      <c r="D20" s="31"/>
      <c r="E20" s="31"/>
      <c r="F20" s="31"/>
      <c r="G20" s="3"/>
      <c r="H20" s="3"/>
      <c r="I20" s="5"/>
      <c r="J20" s="7"/>
      <c r="K20" s="7"/>
      <c r="L20" s="7"/>
      <c r="M20" s="7"/>
      <c r="N20" s="3"/>
      <c r="O20" s="7"/>
      <c r="Q20" s="29"/>
      <c r="R20" s="17"/>
    </row>
    <row r="21" spans="1:18" x14ac:dyDescent="0.35">
      <c r="A21" s="6"/>
      <c r="B21" s="6"/>
      <c r="C21" s="7"/>
      <c r="D21" s="7"/>
      <c r="E21" s="7"/>
      <c r="F21" s="7"/>
      <c r="G21" s="7"/>
      <c r="H21" s="7"/>
      <c r="I21" s="8"/>
      <c r="J21" s="31"/>
      <c r="K21" s="3"/>
      <c r="L21" s="3"/>
      <c r="M21" s="3"/>
      <c r="N21" s="7"/>
      <c r="O21" s="7"/>
      <c r="Q21" s="29"/>
      <c r="R21" s="17"/>
    </row>
    <row r="22" spans="1:18" x14ac:dyDescent="0.35">
      <c r="A22" s="30"/>
      <c r="B22" s="30"/>
      <c r="C22" s="31"/>
      <c r="D22" s="31"/>
      <c r="E22" s="31"/>
      <c r="F22" s="31"/>
      <c r="G22" s="3"/>
      <c r="H22" s="3"/>
      <c r="I22" s="5"/>
      <c r="J22" s="7"/>
      <c r="K22" s="7"/>
      <c r="L22" s="7"/>
      <c r="M22" s="7"/>
      <c r="N22" s="3"/>
      <c r="O22" s="7"/>
      <c r="Q22" s="29"/>
      <c r="R22" s="17"/>
    </row>
  </sheetData>
  <sheetProtection algorithmName="SHA-512" hashValue="0QUbdIMmcrY9AaQuAk4qFtUT6hHlMBXmqQKmpoelJOCXitrq/6d1kK5+jJ/2c7ppe1qENyvTYNO+KDOPtm/TEg==" saltValue="kv9CiUWkFjQ33LKpzXKaxw==" spinCount="100000" sheet="1" objects="1" scenarios="1" selectLockedCells="1"/>
  <mergeCells count="3">
    <mergeCell ref="C4:D4"/>
    <mergeCell ref="A2:D2"/>
    <mergeCell ref="E4:F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MC Method</vt:lpstr>
      <vt:lpstr>Suction Method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Wright</dc:creator>
  <cp:lastModifiedBy>Lance La-Band</cp:lastModifiedBy>
  <cp:lastPrinted>2023-07-17T10:20:52Z</cp:lastPrinted>
  <dcterms:created xsi:type="dcterms:W3CDTF">2022-08-02T11:38:57Z</dcterms:created>
  <dcterms:modified xsi:type="dcterms:W3CDTF">2023-08-07T10:21:43Z</dcterms:modified>
</cp:coreProperties>
</file>