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defaultThemeVersion="166925"/>
  <xr:revisionPtr revIDLastSave="0" documentId="13_ncr:1_{B6D34961-3536-42A8-9C4B-0BF5F6D5BC05}" xr6:coauthVersionLast="47" xr6:coauthVersionMax="47" xr10:uidLastSave="{00000000-0000-0000-0000-000000000000}"/>
  <bookViews>
    <workbookView xWindow="16716" yWindow="276" windowWidth="25752" windowHeight="17172" firstSheet="1"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6" l="1"/>
  <c r="D10" i="6"/>
  <c r="D9" i="6"/>
  <c r="D8" i="6"/>
  <c r="D6" i="8" l="1"/>
  <c r="C6" i="8"/>
  <c r="C17" i="8"/>
  <c r="C16" i="8" l="1"/>
  <c r="C15" i="8" l="1"/>
  <c r="C14" i="8" l="1"/>
  <c r="B14" i="8" l="1"/>
  <c r="C13" i="8"/>
  <c r="D63" i="10" l="1"/>
  <c r="D13" i="10"/>
  <c r="B72" i="6" l="1"/>
  <c r="Q3" i="2"/>
  <c r="U61" i="2"/>
  <c r="S61" i="2"/>
  <c r="P61" i="2"/>
  <c r="U4" i="2"/>
  <c r="S4" i="2"/>
  <c r="P4" i="2"/>
  <c r="L8" i="2" l="1"/>
  <c r="M8" i="2"/>
  <c r="O8" i="2" s="1"/>
  <c r="S8" i="2" s="1"/>
  <c r="N8" i="2"/>
  <c r="Q8" i="2"/>
  <c r="R8" i="2"/>
  <c r="U8" i="2" s="1"/>
  <c r="T8" i="2"/>
  <c r="L9" i="2"/>
  <c r="M9" i="2"/>
  <c r="N9" i="2"/>
  <c r="Q9" i="2"/>
  <c r="T9" i="2"/>
  <c r="L10" i="2"/>
  <c r="M10" i="2"/>
  <c r="O10" i="2" s="1"/>
  <c r="S10" i="2" s="1"/>
  <c r="N10" i="2"/>
  <c r="Q10" i="2"/>
  <c r="R10" i="2" s="1"/>
  <c r="U10" i="2" s="1"/>
  <c r="T10" i="2"/>
  <c r="L11" i="2"/>
  <c r="M11" i="2"/>
  <c r="R11" i="2" s="1"/>
  <c r="U11" i="2" s="1"/>
  <c r="N11" i="2"/>
  <c r="O11" i="2" s="1"/>
  <c r="S11" i="2" s="1"/>
  <c r="Q11" i="2"/>
  <c r="T11" i="2"/>
  <c r="L12" i="2"/>
  <c r="M12" i="2"/>
  <c r="N12" i="2"/>
  <c r="O12" i="2" s="1"/>
  <c r="Q12" i="2"/>
  <c r="R12" i="2" s="1"/>
  <c r="U12" i="2" s="1"/>
  <c r="T12" i="2"/>
  <c r="L13" i="2"/>
  <c r="M13" i="2"/>
  <c r="N13" i="2"/>
  <c r="O13" i="2" s="1"/>
  <c r="Q13" i="2"/>
  <c r="R13" i="2" s="1"/>
  <c r="U13" i="2" s="1"/>
  <c r="T13" i="2"/>
  <c r="L14" i="2"/>
  <c r="M14" i="2"/>
  <c r="N14" i="2"/>
  <c r="O14" i="2"/>
  <c r="S14" i="2" s="1"/>
  <c r="Q14" i="2"/>
  <c r="R14" i="2" s="1"/>
  <c r="T14" i="2"/>
  <c r="L15" i="2"/>
  <c r="M15" i="2"/>
  <c r="R15" i="2" s="1"/>
  <c r="U15" i="2" s="1"/>
  <c r="N15" i="2"/>
  <c r="Q15" i="2"/>
  <c r="T15" i="2"/>
  <c r="L16" i="2"/>
  <c r="M16" i="2"/>
  <c r="O16" i="2" s="1"/>
  <c r="N16" i="2"/>
  <c r="Q16" i="2"/>
  <c r="T16" i="2"/>
  <c r="L17" i="2"/>
  <c r="M17" i="2"/>
  <c r="O17" i="2" s="1"/>
  <c r="S17" i="2" s="1"/>
  <c r="N17" i="2"/>
  <c r="Q17" i="2"/>
  <c r="R17" i="2"/>
  <c r="T17" i="2"/>
  <c r="U17" i="2"/>
  <c r="L18" i="2"/>
  <c r="P18" i="2" s="1"/>
  <c r="M18" i="2"/>
  <c r="N18" i="2"/>
  <c r="O18" i="2"/>
  <c r="Q18" i="2"/>
  <c r="R18" i="2" s="1"/>
  <c r="U18" i="2" s="1"/>
  <c r="T18" i="2"/>
  <c r="L19" i="2"/>
  <c r="M19" i="2"/>
  <c r="N19" i="2"/>
  <c r="O19" i="2" s="1"/>
  <c r="S19" i="2" s="1"/>
  <c r="Q19" i="2"/>
  <c r="R19" i="2" s="1"/>
  <c r="U19" i="2" s="1"/>
  <c r="T19" i="2"/>
  <c r="L20" i="2"/>
  <c r="M20" i="2"/>
  <c r="N20" i="2"/>
  <c r="O20" i="2"/>
  <c r="S20" i="2" s="1"/>
  <c r="P20" i="2"/>
  <c r="Q20" i="2"/>
  <c r="R20" i="2"/>
  <c r="T20" i="2"/>
  <c r="U20" i="2"/>
  <c r="L21" i="2"/>
  <c r="M21" i="2"/>
  <c r="N21" i="2"/>
  <c r="O21" i="2" s="1"/>
  <c r="Q21" i="2"/>
  <c r="R21" i="2"/>
  <c r="U21" i="2" s="1"/>
  <c r="T21" i="2"/>
  <c r="L22" i="2"/>
  <c r="M22" i="2"/>
  <c r="O22" i="2" s="1"/>
  <c r="N22" i="2"/>
  <c r="Q22" i="2"/>
  <c r="T22" i="2"/>
  <c r="L23" i="2"/>
  <c r="M23" i="2"/>
  <c r="O23" i="2" s="1"/>
  <c r="S23" i="2" s="1"/>
  <c r="N23" i="2"/>
  <c r="Q23" i="2"/>
  <c r="R23" i="2"/>
  <c r="T23" i="2"/>
  <c r="U23" i="2"/>
  <c r="L24" i="2"/>
  <c r="P24" i="2" s="1"/>
  <c r="M24" i="2"/>
  <c r="N24" i="2"/>
  <c r="O24" i="2"/>
  <c r="Q24" i="2"/>
  <c r="R24" i="2" s="1"/>
  <c r="U24" i="2" s="1"/>
  <c r="T24" i="2"/>
  <c r="L25" i="2"/>
  <c r="P25" i="2" s="1"/>
  <c r="M25" i="2"/>
  <c r="N25" i="2"/>
  <c r="O25" i="2" s="1"/>
  <c r="Q25" i="2"/>
  <c r="R25" i="2" s="1"/>
  <c r="U25" i="2" s="1"/>
  <c r="T25" i="2"/>
  <c r="L26" i="2"/>
  <c r="M26" i="2"/>
  <c r="N26" i="2"/>
  <c r="O26" i="2"/>
  <c r="P26" i="2"/>
  <c r="Q26" i="2"/>
  <c r="R26" i="2"/>
  <c r="S26" i="2"/>
  <c r="T26" i="2"/>
  <c r="U26" i="2"/>
  <c r="L27" i="2"/>
  <c r="M27" i="2"/>
  <c r="N27" i="2"/>
  <c r="O27" i="2" s="1"/>
  <c r="Q27" i="2"/>
  <c r="R27" i="2"/>
  <c r="U27" i="2" s="1"/>
  <c r="T27" i="2"/>
  <c r="L28" i="2"/>
  <c r="M28" i="2"/>
  <c r="O28" i="2" s="1"/>
  <c r="N28" i="2"/>
  <c r="Q28" i="2"/>
  <c r="T28" i="2"/>
  <c r="L29" i="2"/>
  <c r="M29" i="2"/>
  <c r="O29" i="2" s="1"/>
  <c r="S29" i="2" s="1"/>
  <c r="N29" i="2"/>
  <c r="Q29" i="2"/>
  <c r="R29" i="2"/>
  <c r="T29" i="2"/>
  <c r="U29" i="2"/>
  <c r="L30" i="2"/>
  <c r="M30" i="2"/>
  <c r="N30" i="2"/>
  <c r="O30" i="2"/>
  <c r="P30" i="2"/>
  <c r="Q30" i="2"/>
  <c r="R30" i="2"/>
  <c r="S30" i="2"/>
  <c r="T30" i="2"/>
  <c r="U30" i="2"/>
  <c r="L31" i="2"/>
  <c r="M31" i="2"/>
  <c r="N31" i="2"/>
  <c r="O31" i="2" s="1"/>
  <c r="Q31" i="2"/>
  <c r="R31" i="2" s="1"/>
  <c r="U31" i="2" s="1"/>
  <c r="T31" i="2"/>
  <c r="L32" i="2"/>
  <c r="M32" i="2"/>
  <c r="N32" i="2"/>
  <c r="O32" i="2"/>
  <c r="S32" i="2" s="1"/>
  <c r="P32" i="2"/>
  <c r="Q32" i="2"/>
  <c r="R32" i="2"/>
  <c r="T32" i="2"/>
  <c r="U32" i="2"/>
  <c r="L33" i="2"/>
  <c r="M33" i="2"/>
  <c r="N33" i="2"/>
  <c r="O33" i="2" s="1"/>
  <c r="Q33" i="2"/>
  <c r="R33" i="2"/>
  <c r="U33" i="2" s="1"/>
  <c r="T33" i="2"/>
  <c r="L34" i="2"/>
  <c r="M34" i="2"/>
  <c r="O34" i="2" s="1"/>
  <c r="N34" i="2"/>
  <c r="Q34" i="2"/>
  <c r="T34" i="2"/>
  <c r="L35" i="2"/>
  <c r="M35" i="2"/>
  <c r="O35" i="2" s="1"/>
  <c r="S35" i="2" s="1"/>
  <c r="N35" i="2"/>
  <c r="Q35" i="2"/>
  <c r="R35" i="2"/>
  <c r="T35" i="2"/>
  <c r="U35" i="2"/>
  <c r="L36" i="2"/>
  <c r="P36" i="2" s="1"/>
  <c r="M36" i="2"/>
  <c r="N36" i="2"/>
  <c r="O36" i="2"/>
  <c r="Q36" i="2"/>
  <c r="R36" i="2" s="1"/>
  <c r="U36" i="2" s="1"/>
  <c r="T36" i="2"/>
  <c r="L37" i="2"/>
  <c r="M37" i="2"/>
  <c r="N37" i="2"/>
  <c r="O37" i="2" s="1"/>
  <c r="Q37" i="2"/>
  <c r="R37" i="2" s="1"/>
  <c r="U37" i="2" s="1"/>
  <c r="T37" i="2"/>
  <c r="L38" i="2"/>
  <c r="M38" i="2"/>
  <c r="N38" i="2"/>
  <c r="O38" i="2"/>
  <c r="S38" i="2" s="1"/>
  <c r="P38" i="2"/>
  <c r="Q38" i="2"/>
  <c r="R38" i="2"/>
  <c r="T38" i="2"/>
  <c r="U38" i="2"/>
  <c r="L39" i="2"/>
  <c r="M39" i="2"/>
  <c r="N39" i="2"/>
  <c r="O39" i="2" s="1"/>
  <c r="Q39" i="2"/>
  <c r="R39" i="2"/>
  <c r="U39" i="2" s="1"/>
  <c r="T39" i="2"/>
  <c r="L40" i="2"/>
  <c r="M40" i="2"/>
  <c r="O40" i="2" s="1"/>
  <c r="N40" i="2"/>
  <c r="Q40" i="2"/>
  <c r="T40" i="2"/>
  <c r="L41" i="2"/>
  <c r="M41" i="2"/>
  <c r="N41" i="2"/>
  <c r="O41" i="2"/>
  <c r="P41" i="2"/>
  <c r="Q41" i="2"/>
  <c r="R41" i="2"/>
  <c r="S41" i="2"/>
  <c r="T41" i="2"/>
  <c r="U41" i="2"/>
  <c r="L42" i="2"/>
  <c r="P42" i="2" s="1"/>
  <c r="M42" i="2"/>
  <c r="N42" i="2"/>
  <c r="O42" i="2" s="1"/>
  <c r="S42" i="2" s="1"/>
  <c r="Q42" i="2"/>
  <c r="R42" i="2"/>
  <c r="U42" i="2" s="1"/>
  <c r="T42" i="2"/>
  <c r="L43" i="2"/>
  <c r="M43" i="2"/>
  <c r="N43" i="2"/>
  <c r="O43" i="2"/>
  <c r="P43" i="2" s="1"/>
  <c r="Q43" i="2"/>
  <c r="R43" i="2" s="1"/>
  <c r="U43" i="2" s="1"/>
  <c r="T43" i="2"/>
  <c r="L44" i="2"/>
  <c r="P44" i="2" s="1"/>
  <c r="M44" i="2"/>
  <c r="N44" i="2"/>
  <c r="O44" i="2" s="1"/>
  <c r="Q44" i="2"/>
  <c r="R44" i="2" s="1"/>
  <c r="U44" i="2" s="1"/>
  <c r="T44" i="2"/>
  <c r="L45" i="2"/>
  <c r="P45" i="2" s="1"/>
  <c r="M45" i="2"/>
  <c r="O45" i="2" s="1"/>
  <c r="N45" i="2"/>
  <c r="Q45" i="2"/>
  <c r="R45" i="2" s="1"/>
  <c r="U45" i="2" s="1"/>
  <c r="T45" i="2"/>
  <c r="L46" i="2"/>
  <c r="M46" i="2"/>
  <c r="N46" i="2"/>
  <c r="O46" i="2"/>
  <c r="P46" i="2" s="1"/>
  <c r="Q46" i="2"/>
  <c r="R46" i="2" s="1"/>
  <c r="U46" i="2" s="1"/>
  <c r="T46" i="2"/>
  <c r="L47" i="2"/>
  <c r="M47" i="2"/>
  <c r="N47" i="2"/>
  <c r="O47" i="2"/>
  <c r="P47" i="2"/>
  <c r="Q47" i="2"/>
  <c r="R47" i="2" s="1"/>
  <c r="T47" i="2"/>
  <c r="L48" i="2"/>
  <c r="M48" i="2"/>
  <c r="N48" i="2"/>
  <c r="O48" i="2" s="1"/>
  <c r="Q48" i="2"/>
  <c r="R48" i="2"/>
  <c r="U48" i="2" s="1"/>
  <c r="T48" i="2"/>
  <c r="L49" i="2"/>
  <c r="M49" i="2"/>
  <c r="N49" i="2"/>
  <c r="O49" i="2"/>
  <c r="P49" i="2" s="1"/>
  <c r="Q49" i="2"/>
  <c r="R49" i="2" s="1"/>
  <c r="U49" i="2" s="1"/>
  <c r="T49" i="2"/>
  <c r="L50" i="2"/>
  <c r="M50" i="2"/>
  <c r="O50" i="2" s="1"/>
  <c r="S50" i="2" s="1"/>
  <c r="N50" i="2"/>
  <c r="Q50" i="2"/>
  <c r="R50" i="2" s="1"/>
  <c r="U50" i="2" s="1"/>
  <c r="T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8" i="2"/>
  <c r="U69" i="2"/>
  <c r="U70" i="2"/>
  <c r="U71" i="2"/>
  <c r="U72" i="2"/>
  <c r="U73" i="2"/>
  <c r="U74" i="2"/>
  <c r="U75" i="2"/>
  <c r="U76" i="2"/>
  <c r="U77" i="2"/>
  <c r="U78" i="2"/>
  <c r="U79" i="2"/>
  <c r="U80" i="2"/>
  <c r="U81" i="2"/>
  <c r="U82" i="2"/>
  <c r="U83" i="2"/>
  <c r="U84" i="2"/>
  <c r="U85" i="2"/>
  <c r="U86" i="2"/>
  <c r="U87" i="2"/>
  <c r="U88" i="2"/>
  <c r="U89" i="2"/>
  <c r="U90" i="2"/>
  <c r="U91" i="2"/>
  <c r="U92" i="2"/>
  <c r="U93" i="2"/>
  <c r="R68" i="2"/>
  <c r="R69" i="2"/>
  <c r="R70" i="2"/>
  <c r="R71" i="2"/>
  <c r="R72" i="2"/>
  <c r="R73" i="2"/>
  <c r="R74" i="2"/>
  <c r="R75" i="2"/>
  <c r="R76" i="2"/>
  <c r="R77" i="2"/>
  <c r="R78" i="2"/>
  <c r="R79" i="2"/>
  <c r="R80" i="2"/>
  <c r="R81" i="2"/>
  <c r="R82" i="2"/>
  <c r="R83" i="2"/>
  <c r="R84" i="2"/>
  <c r="R85" i="2"/>
  <c r="R86" i="2"/>
  <c r="R87" i="2"/>
  <c r="R88" i="2"/>
  <c r="R89" i="2"/>
  <c r="R90" i="2"/>
  <c r="R91" i="2"/>
  <c r="R92" i="2"/>
  <c r="R93" i="2"/>
  <c r="P48" i="2" l="1"/>
  <c r="S48" i="2"/>
  <c r="P50" i="2"/>
  <c r="S47" i="2"/>
  <c r="U47" i="2"/>
  <c r="S45" i="2"/>
  <c r="S44" i="2"/>
  <c r="S46" i="2"/>
  <c r="S43" i="2"/>
  <c r="S49" i="2"/>
  <c r="S37" i="2"/>
  <c r="P23" i="2"/>
  <c r="S12" i="2"/>
  <c r="P31" i="2"/>
  <c r="P22" i="2"/>
  <c r="S22" i="2"/>
  <c r="S18" i="2"/>
  <c r="P12" i="2"/>
  <c r="P19" i="2"/>
  <c r="P8" i="2"/>
  <c r="S31" i="2"/>
  <c r="P17" i="2"/>
  <c r="P40" i="2"/>
  <c r="S36" i="2"/>
  <c r="P37" i="2"/>
  <c r="P35" i="2"/>
  <c r="P27" i="2"/>
  <c r="S27" i="2"/>
  <c r="P16" i="2"/>
  <c r="P34" i="2"/>
  <c r="P33" i="2"/>
  <c r="S33" i="2"/>
  <c r="P28" i="2"/>
  <c r="S24" i="2"/>
  <c r="P29" i="2"/>
  <c r="S25" i="2"/>
  <c r="P21" i="2"/>
  <c r="S21" i="2"/>
  <c r="P39" i="2"/>
  <c r="S39" i="2"/>
  <c r="O15" i="2"/>
  <c r="P15" i="2" s="1"/>
  <c r="O9" i="2"/>
  <c r="R40" i="2"/>
  <c r="U40" i="2" s="1"/>
  <c r="R34" i="2"/>
  <c r="U34" i="2" s="1"/>
  <c r="R28" i="2"/>
  <c r="U28" i="2" s="1"/>
  <c r="R22" i="2"/>
  <c r="U22" i="2" s="1"/>
  <c r="R16" i="2"/>
  <c r="U16" i="2" s="1"/>
  <c r="U14" i="2"/>
  <c r="P14" i="2"/>
  <c r="P10" i="2"/>
  <c r="R9" i="2"/>
  <c r="U9" i="2" s="1"/>
  <c r="S15" i="2"/>
  <c r="P11" i="2"/>
  <c r="S9" i="2"/>
  <c r="P9" i="2"/>
  <c r="S13" i="2"/>
  <c r="P13" i="2"/>
  <c r="S40" i="2" l="1"/>
  <c r="S28" i="2"/>
  <c r="S34" i="2"/>
  <c r="S16" i="2"/>
  <c r="P68" i="2"/>
  <c r="P69" i="2"/>
  <c r="P70" i="2"/>
  <c r="P71" i="2"/>
  <c r="P72" i="2"/>
  <c r="P73" i="2"/>
  <c r="P74" i="2"/>
  <c r="P75" i="2"/>
  <c r="P76" i="2"/>
  <c r="P77" i="2"/>
  <c r="P78" i="2"/>
  <c r="P79" i="2"/>
  <c r="P80" i="2"/>
  <c r="P81" i="2"/>
  <c r="P82" i="2"/>
  <c r="P83" i="2"/>
  <c r="P84" i="2"/>
  <c r="P85" i="2"/>
  <c r="P86" i="2"/>
  <c r="P87" i="2"/>
  <c r="P88" i="2"/>
  <c r="P89" i="2"/>
  <c r="P90" i="2"/>
  <c r="P91" i="2"/>
  <c r="P92" i="2"/>
  <c r="P93" i="2"/>
  <c r="S68" i="2" l="1"/>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s="1"/>
  <c r="P66" i="2" s="1"/>
  <c r="Q66" i="2"/>
  <c r="R66" i="2" s="1"/>
  <c r="T66" i="2"/>
  <c r="L67" i="2"/>
  <c r="N67" i="2"/>
  <c r="O67" i="2" s="1"/>
  <c r="Q67" i="2"/>
  <c r="R67" i="2" s="1"/>
  <c r="U67" i="2" s="1"/>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P67" i="2" l="1"/>
  <c r="S67" i="2"/>
  <c r="U66" i="2"/>
  <c r="S66" i="2"/>
  <c r="R64" i="2"/>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S7" i="2" s="1"/>
  <c r="O63" i="2"/>
  <c r="P63" i="2" s="1"/>
  <c r="M94" i="2"/>
  <c r="Q58" i="2"/>
  <c r="Q96" i="2" s="1"/>
  <c r="N58" i="2"/>
  <c r="N96" i="2" s="1"/>
  <c r="M58" i="2"/>
  <c r="T58" i="2"/>
  <c r="I3" i="2"/>
  <c r="G3" i="2"/>
  <c r="H3" i="2"/>
  <c r="N13" i="8"/>
  <c r="C75" i="6" s="1"/>
  <c r="C33" i="8"/>
  <c r="N14" i="8"/>
  <c r="C76" i="6" s="1"/>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80" i="6"/>
  <c r="F81" i="6"/>
  <c r="F83" i="6"/>
  <c r="F84" i="6"/>
  <c r="F85" i="6"/>
  <c r="F86" i="6"/>
  <c r="F87" i="6"/>
  <c r="F88" i="6"/>
  <c r="F89" i="6"/>
  <c r="F90" i="6"/>
  <c r="F91" i="6"/>
  <c r="F92" i="6"/>
  <c r="F93" i="6"/>
  <c r="F94" i="6"/>
  <c r="E80" i="6"/>
  <c r="E81" i="6"/>
  <c r="E83" i="6"/>
  <c r="E84" i="6"/>
  <c r="E85" i="6"/>
  <c r="E86" i="6"/>
  <c r="E87" i="6"/>
  <c r="E88" i="6"/>
  <c r="E89" i="6"/>
  <c r="E90" i="6"/>
  <c r="E91" i="6"/>
  <c r="E92" i="6"/>
  <c r="E93" i="6"/>
  <c r="E94" i="6"/>
  <c r="D77" i="6"/>
  <c r="D80" i="6"/>
  <c r="D81" i="6"/>
  <c r="D83" i="6"/>
  <c r="D84" i="6"/>
  <c r="D85" i="6"/>
  <c r="D86" i="6"/>
  <c r="D87" i="6"/>
  <c r="D88" i="6"/>
  <c r="D89" i="6"/>
  <c r="D90" i="6"/>
  <c r="D91" i="6"/>
  <c r="D92" i="6"/>
  <c r="D93" i="6"/>
  <c r="D94"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F79" i="6" s="1"/>
  <c r="Q18" i="8"/>
  <c r="Q19" i="8"/>
  <c r="Q20" i="8"/>
  <c r="F82" i="6" s="1"/>
  <c r="Q21" i="8"/>
  <c r="Q22" i="8"/>
  <c r="Q23" i="8"/>
  <c r="Q24" i="8"/>
  <c r="Q25" i="8"/>
  <c r="Q26" i="8"/>
  <c r="Q27" i="8"/>
  <c r="Q28" i="8"/>
  <c r="Q29" i="8"/>
  <c r="Q30" i="8"/>
  <c r="Q31" i="8"/>
  <c r="Q32" i="8"/>
  <c r="P14" i="8"/>
  <c r="E76" i="6" s="1"/>
  <c r="P15" i="8"/>
  <c r="E77" i="6" s="1"/>
  <c r="P16" i="8"/>
  <c r="E78" i="6" s="1"/>
  <c r="P17" i="8"/>
  <c r="E79" i="6" s="1"/>
  <c r="P18" i="8"/>
  <c r="P19" i="8"/>
  <c r="P20" i="8"/>
  <c r="E82" i="6" s="1"/>
  <c r="P21" i="8"/>
  <c r="P22" i="8"/>
  <c r="P23" i="8"/>
  <c r="P24" i="8"/>
  <c r="P25" i="8"/>
  <c r="P27" i="8"/>
  <c r="P28" i="8"/>
  <c r="P29" i="8"/>
  <c r="P30" i="8"/>
  <c r="P31" i="8"/>
  <c r="P32" i="8"/>
  <c r="Q13" i="8"/>
  <c r="F75" i="6" s="1"/>
  <c r="P13" i="8"/>
  <c r="E75" i="6" s="1"/>
  <c r="O14" i="8"/>
  <c r="D76" i="6" s="1"/>
  <c r="O15" i="8"/>
  <c r="O16" i="8"/>
  <c r="D78" i="6" s="1"/>
  <c r="O17" i="8"/>
  <c r="D79" i="6" s="1"/>
  <c r="O18" i="8"/>
  <c r="O19" i="8"/>
  <c r="O20" i="8"/>
  <c r="D82" i="6" s="1"/>
  <c r="O21" i="8"/>
  <c r="O22" i="8"/>
  <c r="O23" i="8"/>
  <c r="O24" i="8"/>
  <c r="O25" i="8"/>
  <c r="O27" i="8"/>
  <c r="O28" i="8"/>
  <c r="O29" i="8"/>
  <c r="O30" i="8"/>
  <c r="O31" i="8"/>
  <c r="O32" i="8"/>
  <c r="O13" i="8"/>
  <c r="D75" i="6" s="1"/>
  <c r="N15" i="8"/>
  <c r="C77" i="6" s="1"/>
  <c r="N16" i="8"/>
  <c r="C78" i="6" s="1"/>
  <c r="N17" i="8"/>
  <c r="C79" i="6" s="1"/>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T96" i="2" l="1"/>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<sst xmlns="http://schemas.openxmlformats.org/spreadsheetml/2006/main" count="533" uniqueCount="322">
  <si>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</si>
  <si>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</si>
  <si>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</si>
  <si>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</si>
  <si>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</si>
  <si>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</si>
  <si>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</si>
  <si>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</si>
  <si>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</si>
  <si>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</si>
  <si>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</si>
  <si>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</si>
  <si>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</si>
  <si>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</si>
  <si>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</si>
  <si>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</si>
  <si>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</si>
  <si>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</si>
  <si>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</si>
  <si>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</si>
  <si>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</si>
  <si>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</si>
  <si>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</si>
  <si>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</si>
  <si>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</si>
  <si>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</si>
  <si>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</si>
  <si>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</si>
  <si>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</si>
  <si>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</si>
  <si>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</si>
  <si>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</si>
  <si>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</si>
  <si>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</si>
  <si>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</si>
  <si>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</si>
  <si>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</si>
  <si>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</si>
  <si>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</si>
  <si>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</si>
  <si>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</si>
  <si>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</si>
  <si>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</si>
  <si>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</si>
  <si>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</si>
  <si>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</si>
  <si>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</si>
  <si>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</si>
  <si>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</si>
  <si>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</si>
  <si>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</si>
  <si>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</si>
  <si>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</si>
  <si>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</si>
  <si>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</si>
  <si>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</si>
  <si>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</si>
  <si>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</si>
  <si>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</si>
  <si>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</si>
  <si>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</si>
  <si>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</si>
  <si>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</si>
  <si>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</si>
  <si>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</si>
  <si>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</si>
  <si>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</si>
  <si>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</si>
  <si>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</si>
  <si>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</si>
  <si>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</si>
  <si>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</si>
  <si>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</si>
  <si>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</si>
  <si>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</si>
  <si>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</si>
  <si>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</si>
  <si>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</si>
  <si>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</si>
  <si>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</si>
  <si>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</si>
  <si>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</si>
  <si>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</si>
  <si>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</si>
  <si>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</si>
  <si>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</si>
  <si>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</si>
  <si>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</si>
  <si>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</si>
  <si>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</si>
  <si>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</si>
  <si>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</si>
  <si>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</si>
  <si>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</si>
  <si>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</si>
  <si>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</si>
  <si>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</si>
  <si>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</si>
  <si>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</si>
  <si>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</si>
  <si>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</si>
  <si>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</si>
  <si>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</si>
  <si>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</si>
  <si>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</si>
  <si>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</si>
  <si>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</si>
  <si>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</si>
  <si>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</si>
  <si>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</si>
  <si>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</si>
  <si>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</si>
  <si>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</si>
  <si>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</si>
  <si>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</si>
  <si>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</si>
  <si>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</si>
  <si>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</si>
  <si>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</si>
  <si>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</si>
  <si>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</si>
  <si>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</si>
  <si>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</si>
  <si>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</si>
  <si>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</si>
  <si>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</si>
  <si>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</si>
  <si>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</si>
  <si>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</si>
  <si>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</si>
  <si>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</si>
  <si>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</si>
  <si>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</si>
  <si>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</si>
  <si>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</si>
  <si>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</si>
  <si>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</si>
  <si>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</si>
  <si>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</si>
  <si>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</si>
  <si>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</si>
  <si>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</si>
  <si>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</si>
  <si>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</si>
  <si>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</si>
  <si>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</si>
  <si>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</si>
  <si>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</si>
  <si>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</si>
  <si>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</si>
  <si>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</si>
  <si>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</si>
  <si>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</si>
  <si>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</si>
  <si>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</si>
  <si>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</si>
  <si>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</si>
  <si>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</si>
  <si>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</si>
  <si>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</si>
  <si>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</si>
  <si>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</si>
  <si>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</si>
  <si>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</si>
  <si>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</si>
  <si>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</si>
  <si>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</si>
  <si>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</si>
  <si>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</si>
  <si>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</si>
  <si>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</si>
  <si>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</si>
  <si>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</si>
  <si>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</si>
  <si>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</si>
  <si>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</si>
  <si>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</si>
  <si>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</si>
  <si>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</si>
  <si>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</si>
  <si>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</si>
  <si>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</si>
  <si>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</si>
  <si>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</si>
  <si>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</si>
  <si>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</si>
  <si>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</si>
  <si>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</si>
  <si>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</si>
  <si>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</si>
  <si>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</si>
  <si>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</si>
  <si>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</si>
  <si>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</si>
  <si>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</si>
  <si>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</si>
  <si>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</si>
  <si>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</si>
  <si>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</si>
  <si>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</si>
  <si>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</si>
  <si>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</si>
  <si>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</si>
  <si>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</si>
  <si>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</si>
  <si>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</si>
  <si>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</si>
  <si>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</si>
  <si>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</si>
  <si>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</si>
  <si>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</si>
  <si>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</si>
  <si>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</si>
  <si>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</si>
  <si>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</si>
  <si>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</si>
  <si>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</si>
  <si>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</si>
  <si>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</si>
  <si>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</si>
  <si>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</si>
  <si>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</si>
  <si>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</si>
  <si>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</si>
  <si>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</si>
  <si>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</si>
  <si>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</si>
  <si>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</si>
  <si>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</si>
  <si>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</si>
  <si>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</si>
  <si>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</si>
  <si>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</si>
  <si>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</si>
  <si>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</si>
  <si>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</si>
  <si>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</si>
  <si>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</si>
  <si>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</si>
  <si>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</si>
  <si>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</si>
  <si>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</si>
  <si>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</si>
  <si>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</si>
  <si>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</si>
  <si>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</si>
  <si>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</si>
  <si>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</si>
  <si>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</si>
  <si>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</si>
  <si>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</si>
  <si>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</si>
  <si>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</si>
  <si>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</si>
  <si>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</si>
  <si>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</si>
  <si>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</si>
  <si>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</si>
  <si>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</si>
  <si>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</si>
  <si>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 xml:space="preserve">1MS </t>
  </si>
  <si>
    <t xml:space="preserve">Vine Lane </t>
  </si>
  <si>
    <t>High Holborn</t>
  </si>
  <si>
    <t>WCS (new)</t>
  </si>
  <si>
    <t>WCS (refurb)</t>
  </si>
  <si>
    <t>Flat 101</t>
  </si>
  <si>
    <t>Flat 102</t>
  </si>
  <si>
    <t>Flat 103</t>
  </si>
  <si>
    <t>Flat 104</t>
  </si>
  <si>
    <t>Flat 105</t>
  </si>
  <si>
    <t>Flat 201</t>
  </si>
  <si>
    <t>Flat 202</t>
  </si>
  <si>
    <t>Flat 203</t>
  </si>
  <si>
    <t>Flat 204</t>
  </si>
  <si>
    <t>Flat 205</t>
  </si>
  <si>
    <t>Flat 301</t>
  </si>
  <si>
    <t>Flat 302</t>
  </si>
  <si>
    <t>Flat 303</t>
  </si>
  <si>
    <t>Flat 304</t>
  </si>
  <si>
    <t>Flat 305</t>
  </si>
  <si>
    <t>Flat 401</t>
  </si>
  <si>
    <t>Flat 402</t>
  </si>
  <si>
    <t>Flat 403</t>
  </si>
  <si>
    <t>Flat 501</t>
  </si>
  <si>
    <t>HH Flat 1 GF</t>
  </si>
  <si>
    <t>HH Flat 2 MF</t>
  </si>
  <si>
    <t>HH Flat 4 TF</t>
  </si>
  <si>
    <t xml:space="preserve">Flat 103 </t>
  </si>
  <si>
    <t>Flat 201 &amp; 301</t>
  </si>
  <si>
    <t>Flat 203 &amp; 303</t>
  </si>
  <si>
    <t>1FF-10/12 MS</t>
  </si>
  <si>
    <t>2FF-10/12 MS</t>
  </si>
  <si>
    <t>3FF-10/12 MS</t>
  </si>
  <si>
    <t>1FF-39/41 MS</t>
  </si>
  <si>
    <t>2FF-39/41 MS</t>
  </si>
  <si>
    <t>3FF-39/41 MS</t>
  </si>
  <si>
    <t>HSE-10/12 MS</t>
  </si>
  <si>
    <t>HSE-35 NOS</t>
  </si>
  <si>
    <t>HSE-37 NOS</t>
  </si>
  <si>
    <t>yes</t>
  </si>
  <si>
    <t>Camden</t>
  </si>
  <si>
    <t>Y</t>
  </si>
  <si>
    <t>Varies</t>
  </si>
  <si>
    <t>see elevations in planning submission</t>
  </si>
  <si>
    <t>N</t>
  </si>
  <si>
    <t>Air</t>
  </si>
  <si>
    <t>Varies, see Energy Statement</t>
  </si>
  <si>
    <t>Stage 2 design only, to be developed at stage 3</t>
  </si>
  <si>
    <t>Noise and air quality restrictions. Part O assessments demonstrates that without these restrictions cooling would not be required</t>
  </si>
  <si>
    <t>communal system (building level)</t>
  </si>
  <si>
    <t>See appendices</t>
  </si>
  <si>
    <t>Stage 2 design only, to be developed at stage 3, considerations to flexibility and reduction included in Energy Statement</t>
  </si>
  <si>
    <t>Within buildings. 20C for ambient loop where applicable</t>
  </si>
  <si>
    <t>Within buildings. 25C for ambient loop where applicable</t>
  </si>
  <si>
    <t>Yes</t>
  </si>
  <si>
    <t>Bespoke calculation (provide details in column T)</t>
  </si>
  <si>
    <t>CIBSE TM54</t>
  </si>
  <si>
    <t>Excel calculations</t>
  </si>
  <si>
    <t>Other (provide details in column T)</t>
  </si>
  <si>
    <t>Elmhurst SAP calculations</t>
  </si>
  <si>
    <t>Part L1 - SAP 10.2</t>
  </si>
  <si>
    <t>IES VE 2022.3.0.0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</si>
</sst>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46.06770799909981</c:v>
                </c:pt>
                <c:pt idx="2">
                  <c:v>46.06770799909981</c:v>
                </c:pt>
                <c:pt idx="3">
                  <c:v>11.519182199999999</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8.1643461009001967</c:v>
                </c:pt>
                <c:pt idx="2">
                  <c:v>0</c:v>
                </c:pt>
                <c:pt idx="3">
                  <c:v>34.548525799099806</c:v>
                </c:pt>
                <c:pt idx="4">
                  <c:v>11.519182199999996</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54.232054100000006</c:v>
                </c:pt>
                <c:pt idx="1">
                  <c:v>54.232054100000006</c:v>
                </c:pt>
                <c:pt idx="2">
                  <c:v>54.232054100000006</c:v>
                </c:pt>
                <c:pt idx="3">
                  <c:v>54.232054100000006</c:v>
                </c:pt>
                <c:pt idx="4">
                  <c:v>54.232054100000006</c:v>
                </c:pt>
                <c:pt idx="5">
                  <c:v>54.232054100000006</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35.250835165000005</c:v>
                </c:pt>
                <c:pt idx="1">
                  <c:v>35.250835165000005</c:v>
                </c:pt>
                <c:pt idx="2">
                  <c:v>35.250835165000005</c:v>
                </c:pt>
                <c:pt idx="3">
                  <c:v>35.250835165000005</c:v>
                </c:pt>
                <c:pt idx="4">
                  <c:v>35.250835165000005</c:v>
                </c:pt>
                <c:pt idx="5">
                  <c:v>35.250835165000005</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65.738461000000001</c:v>
                </c:pt>
                <c:pt idx="2">
                  <c:v>65.738461000000001</c:v>
                </c:pt>
                <c:pt idx="3">
                  <c:v>58.263931999999997</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9.5818679999999858</c:v>
                </c:pt>
                <c:pt idx="2">
                  <c:v>0</c:v>
                </c:pt>
                <c:pt idx="3">
                  <c:v>7.474529000000004</c:v>
                </c:pt>
                <c:pt idx="4">
                  <c:v>58.263931999999997</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75.320328999999987</c:v>
                </c:pt>
                <c:pt idx="1">
                  <c:v>75.320328999999987</c:v>
                </c:pt>
                <c:pt idx="2">
                  <c:v>75.320328999999987</c:v>
                </c:pt>
                <c:pt idx="3">
                  <c:v>75.320328999999987</c:v>
                </c:pt>
                <c:pt idx="4">
                  <c:v>75.320328999999987</c:v>
                </c:pt>
                <c:pt idx="5">
                  <c:v>75.320328999999987</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48.958213849999993</c:v>
                </c:pt>
                <c:pt idx="1">
                  <c:v>48.958213849999993</c:v>
                </c:pt>
                <c:pt idx="2">
                  <c:v>48.958213849999993</c:v>
                </c:pt>
                <c:pt idx="3">
                  <c:v>48.958213849999993</c:v>
                </c:pt>
                <c:pt idx="4">
                  <c:v>48.958213849999993</c:v>
                </c:pt>
                <c:pt idx="5">
                  <c:v>48.958213849999993</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3.2" zeroHeight="1"/>
  <cols>
    <col min="1" max="1" width="15.6640625" style="219" customWidth="1"/>
    <col min="2" max="2" width="19" style="219" customWidth="1"/>
    <col min="3" max="11" width="8.3320312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700000000000003" customHeight="1">
      <c r="A4" s="228" t="s">
        <v>246</v>
      </c>
      <c r="B4" s="228"/>
      <c r="C4" s="228"/>
      <c r="D4" s="228"/>
      <c r="E4" s="228"/>
      <c r="F4" s="228"/>
      <c r="G4" s="228"/>
      <c r="H4" s="228"/>
      <c r="I4" s="228"/>
      <c r="J4" s="228"/>
      <c r="K4" s="228"/>
      <c r="L4" s="228"/>
    </row>
    <row r="5" spans="1:16384" ht="41.7" customHeight="1">
      <c r="A5" s="228" t="s">
        <v>247</v>
      </c>
      <c r="B5" s="228"/>
      <c r="C5" s="228"/>
      <c r="D5" s="228"/>
      <c r="E5" s="228"/>
      <c r="F5" s="228"/>
      <c r="G5" s="228"/>
      <c r="H5" s="228"/>
      <c r="I5" s="228"/>
      <c r="J5" s="228"/>
      <c r="K5" s="228"/>
      <c r="L5" s="228"/>
    </row>
    <row r="6" spans="1:16384" ht="32.700000000000003"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34" zoomScaleNormal="100" workbookViewId="0">
      <selection activeCell="F45" sqref="F45"/>
    </sheetView>
  </sheetViews>
  <sheetFormatPr defaultColWidth="0" defaultRowHeight="11.4" zeroHeight="1"/>
  <cols>
    <col min="1" max="1" width="41" style="202" bestFit="1" customWidth="1"/>
    <col min="2" max="3" width="39.6640625" style="202" customWidth="1"/>
    <col min="4" max="4" width="19.5546875" style="202" customWidth="1"/>
    <col min="5" max="5" width="39" style="202" customWidth="1"/>
    <col min="6" max="6" width="99.33203125" style="202" customWidth="1"/>
    <col min="7" max="7" width="65" style="202" customWidth="1"/>
    <col min="8" max="11" width="8.33203125" style="202" customWidth="1"/>
    <col min="12" max="16384" width="8.33203125" style="202" hidden="1"/>
  </cols>
  <sheetData>
    <row r="1" spans="1:6" s="199" customFormat="1" ht="15" customHeight="1">
      <c r="A1" s="198" t="s">
        <v>159</v>
      </c>
      <c r="B1" s="198"/>
      <c r="C1" s="198"/>
      <c r="F1" s="200"/>
    </row>
    <row r="2" spans="1:6" ht="37.5" customHeight="1">
      <c r="A2" s="255" t="s">
        <v>160</v>
      </c>
      <c r="B2" s="255"/>
      <c r="C2" s="201" t="s">
        <v>299</v>
      </c>
    </row>
    <row r="3" spans="1:6" ht="37.5" customHeight="1">
      <c r="A3" s="255" t="s">
        <v>161</v>
      </c>
      <c r="B3" s="255"/>
      <c r="C3" s="201" t="s">
        <v>299</v>
      </c>
    </row>
    <row r="4" spans="1:6" ht="37.5" customHeight="1">
      <c r="A4" s="255" t="s">
        <v>162</v>
      </c>
      <c r="B4" s="255"/>
      <c r="C4" s="201" t="s">
        <v>299</v>
      </c>
    </row>
    <row r="5" spans="1:6" ht="61.5" customHeight="1">
      <c r="A5" s="255" t="s">
        <v>163</v>
      </c>
      <c r="B5" s="255"/>
      <c r="C5" s="201" t="s">
        <v>299</v>
      </c>
      <c r="D5" s="203"/>
    </row>
    <row r="6" spans="1:6" ht="12" thickBot="1"/>
    <row r="7" spans="1:6" ht="24.6" thickTop="1">
      <c r="A7" s="204" t="s">
        <v>164</v>
      </c>
      <c r="B7" s="205"/>
      <c r="C7" s="205" t="s">
        <v>165</v>
      </c>
      <c r="D7" s="205" t="s">
        <v>166</v>
      </c>
      <c r="E7" s="206" t="s">
        <v>167</v>
      </c>
    </row>
    <row r="8" spans="1:6" ht="22.8">
      <c r="A8" s="249" t="s">
        <v>168</v>
      </c>
      <c r="B8" s="207" t="s">
        <v>0</v>
      </c>
      <c r="C8" s="207" t="s">
        <v>1</v>
      </c>
      <c r="D8" s="208"/>
      <c r="E8" s="208"/>
    </row>
    <row r="9" spans="1:6" ht="22.8">
      <c r="A9" s="249"/>
      <c r="B9" s="207" t="s">
        <v>2</v>
      </c>
      <c r="C9" s="207" t="s">
        <v>3</v>
      </c>
      <c r="D9" s="208" t="s">
        <v>300</v>
      </c>
      <c r="E9" s="208"/>
    </row>
    <row r="10" spans="1:6" ht="45.6">
      <c r="A10" s="249"/>
      <c r="B10" s="207" t="s">
        <v>4</v>
      </c>
      <c r="C10" s="207" t="s">
        <v>169</v>
      </c>
      <c r="D10" s="224">
        <v>95</v>
      </c>
      <c r="E10" s="208"/>
    </row>
    <row r="11" spans="1:6" ht="22.8">
      <c r="A11" s="249"/>
      <c r="B11" s="207" t="s">
        <v>170</v>
      </c>
      <c r="C11" s="207"/>
      <c r="D11" s="208" t="s">
        <v>301</v>
      </c>
      <c r="E11" s="208"/>
      <c r="F11" s="209"/>
    </row>
    <row r="12" spans="1:6" ht="25.5" customHeight="1">
      <c r="A12" s="249"/>
      <c r="B12" s="207" t="s">
        <v>171</v>
      </c>
      <c r="C12" s="207"/>
      <c r="D12" s="225">
        <v>44</v>
      </c>
      <c r="E12" s="208"/>
    </row>
    <row r="13" spans="1:6" ht="25.5" customHeight="1">
      <c r="A13" s="249"/>
      <c r="B13" s="207" t="s">
        <v>172</v>
      </c>
      <c r="C13" s="207"/>
      <c r="D13" s="224">
        <f>22650+1667</f>
        <v>24317</v>
      </c>
      <c r="E13" s="208"/>
    </row>
    <row r="14" spans="1:6" ht="22.8">
      <c r="A14" s="246" t="s">
        <v>173</v>
      </c>
      <c r="B14" s="207" t="s">
        <v>174</v>
      </c>
      <c r="C14" s="207"/>
      <c r="D14" s="208" t="s">
        <v>301</v>
      </c>
      <c r="E14" s="208"/>
    </row>
    <row r="15" spans="1:6" ht="22.8">
      <c r="A15" s="247"/>
      <c r="B15" s="207" t="s">
        <v>175</v>
      </c>
      <c r="C15" s="207"/>
      <c r="D15" s="208" t="s">
        <v>301</v>
      </c>
      <c r="E15" s="208"/>
    </row>
    <row r="16" spans="1:6" ht="22.8">
      <c r="A16" s="247"/>
      <c r="B16" s="207" t="s">
        <v>176</v>
      </c>
      <c r="C16" s="207"/>
      <c r="D16" s="208" t="s">
        <v>301</v>
      </c>
      <c r="E16" s="208"/>
    </row>
    <row r="17" spans="1:6" ht="22.8">
      <c r="A17" s="247"/>
      <c r="B17" s="207" t="s">
        <v>177</v>
      </c>
      <c r="C17" s="207"/>
      <c r="D17" s="208" t="s">
        <v>301</v>
      </c>
      <c r="E17" s="208"/>
    </row>
    <row r="18" spans="1:6" ht="14.7" customHeight="1">
      <c r="A18" s="247"/>
      <c r="B18" s="207" t="s">
        <v>178</v>
      </c>
      <c r="C18" s="207"/>
      <c r="D18" s="224">
        <v>0.47</v>
      </c>
      <c r="E18" s="208"/>
    </row>
    <row r="19" spans="1:6" ht="14.7" customHeight="1">
      <c r="A19" s="247"/>
      <c r="B19" s="207" t="s">
        <v>179</v>
      </c>
      <c r="C19" s="207"/>
      <c r="D19" s="224" t="s">
        <v>302</v>
      </c>
      <c r="E19" s="208" t="s">
        <v>303</v>
      </c>
    </row>
    <row r="20" spans="1:6" ht="14.7" customHeight="1">
      <c r="A20" s="248"/>
      <c r="B20" s="207" t="s">
        <v>180</v>
      </c>
      <c r="C20" s="207"/>
      <c r="D20" s="208" t="s">
        <v>301</v>
      </c>
      <c r="E20" s="208"/>
    </row>
    <row r="21" spans="1:6" ht="14.7" customHeight="1">
      <c r="A21" s="246" t="s">
        <v>181</v>
      </c>
      <c r="B21" s="210" t="s">
        <v>182</v>
      </c>
      <c r="C21" s="210"/>
      <c r="D21" s="208" t="s">
        <v>301</v>
      </c>
      <c r="E21" s="208"/>
    </row>
    <row r="22" spans="1:6" ht="22.8">
      <c r="A22" s="247"/>
      <c r="B22" s="210" t="s">
        <v>183</v>
      </c>
      <c r="C22" s="210"/>
      <c r="D22" s="208" t="s">
        <v>301</v>
      </c>
      <c r="E22" s="208"/>
    </row>
    <row r="23" spans="1:6" ht="14.7" customHeight="1">
      <c r="A23" s="247"/>
      <c r="B23" s="210" t="s">
        <v>184</v>
      </c>
      <c r="C23" s="210"/>
      <c r="D23" s="208" t="s">
        <v>304</v>
      </c>
      <c r="E23" s="208"/>
      <c r="F23" s="211"/>
    </row>
    <row r="24" spans="1:6" ht="14.7" customHeight="1">
      <c r="A24" s="248"/>
      <c r="B24" s="210" t="s">
        <v>185</v>
      </c>
      <c r="C24" s="210"/>
      <c r="D24" s="208" t="s">
        <v>301</v>
      </c>
      <c r="E24" s="208"/>
      <c r="F24" s="211"/>
    </row>
    <row r="25" spans="1:6" ht="22.8">
      <c r="A25" s="246" t="s">
        <v>186</v>
      </c>
      <c r="B25" s="207" t="s">
        <v>187</v>
      </c>
      <c r="C25" s="207"/>
      <c r="D25" s="208" t="s">
        <v>304</v>
      </c>
      <c r="E25" s="208"/>
    </row>
    <row r="26" spans="1:6">
      <c r="A26" s="247"/>
      <c r="B26" s="207" t="s">
        <v>188</v>
      </c>
      <c r="C26" s="207"/>
      <c r="D26" s="208" t="s">
        <v>304</v>
      </c>
      <c r="E26" s="208"/>
    </row>
    <row r="27" spans="1:6">
      <c r="A27" s="247"/>
      <c r="B27" s="207" t="s">
        <v>189</v>
      </c>
      <c r="C27" s="207"/>
      <c r="D27" s="208"/>
      <c r="E27" s="208"/>
    </row>
    <row r="28" spans="1:6" ht="15">
      <c r="A28" s="247"/>
      <c r="B28" s="207" t="s">
        <v>190</v>
      </c>
      <c r="C28" s="207"/>
      <c r="D28" s="224"/>
      <c r="E28" s="208"/>
    </row>
    <row r="29" spans="1:6" ht="34.200000000000003">
      <c r="A29" s="248"/>
      <c r="B29" s="207" t="s">
        <v>191</v>
      </c>
      <c r="C29" s="207" t="s">
        <v>192</v>
      </c>
      <c r="D29" s="208" t="s">
        <v>301</v>
      </c>
      <c r="E29" s="208"/>
    </row>
    <row r="30" spans="1:6" ht="22.8">
      <c r="A30" s="246" t="s">
        <v>193</v>
      </c>
      <c r="B30" s="207" t="s">
        <v>194</v>
      </c>
      <c r="C30" s="207" t="s">
        <v>195</v>
      </c>
      <c r="D30" s="208" t="s">
        <v>301</v>
      </c>
      <c r="E30" s="208"/>
      <c r="F30" s="212"/>
    </row>
    <row r="31" spans="1:6" ht="45.6">
      <c r="A31" s="247"/>
      <c r="B31" s="207" t="s">
        <v>196</v>
      </c>
      <c r="C31" s="207" t="s">
        <v>257</v>
      </c>
      <c r="D31" s="208" t="s">
        <v>301</v>
      </c>
      <c r="E31" s="208"/>
    </row>
    <row r="32" spans="1:6">
      <c r="A32" s="247"/>
      <c r="B32" s="207" t="s">
        <v>197</v>
      </c>
      <c r="C32" s="207"/>
      <c r="D32" s="208" t="s">
        <v>309</v>
      </c>
      <c r="E32" s="208"/>
    </row>
    <row r="33" spans="1:5" ht="12">
      <c r="A33" s="247"/>
      <c r="B33" s="213" t="s">
        <v>198</v>
      </c>
      <c r="C33" s="207"/>
      <c r="D33" s="224">
        <v>35</v>
      </c>
      <c r="E33" s="208" t="s">
        <v>312</v>
      </c>
    </row>
    <row r="34" spans="1:5" ht="12">
      <c r="A34" s="247"/>
      <c r="B34" s="213" t="s">
        <v>199</v>
      </c>
      <c r="C34" s="207"/>
      <c r="D34" s="224">
        <v>30</v>
      </c>
      <c r="E34" s="208" t="s">
        <v>313</v>
      </c>
    </row>
    <row r="35" spans="1:5">
      <c r="A35" s="248"/>
      <c r="B35" s="207" t="s">
        <v>200</v>
      </c>
      <c r="C35" s="207" t="s">
        <v>201</v>
      </c>
      <c r="D35" s="224"/>
      <c r="E35" s="208"/>
    </row>
    <row r="36" spans="1:5">
      <c r="A36" s="246" t="s">
        <v>202</v>
      </c>
      <c r="B36" s="207" t="s">
        <v>203</v>
      </c>
      <c r="C36" s="207"/>
      <c r="D36" s="208" t="s">
        <v>301</v>
      </c>
      <c r="E36" s="208"/>
    </row>
    <row r="37" spans="1:5">
      <c r="A37" s="247"/>
      <c r="B37" s="207" t="s">
        <v>204</v>
      </c>
      <c r="C37" s="207"/>
      <c r="D37" s="226" t="s">
        <v>305</v>
      </c>
      <c r="E37" s="208"/>
    </row>
    <row r="38" spans="1:5">
      <c r="A38" s="247"/>
      <c r="B38" s="207" t="s">
        <v>205</v>
      </c>
      <c r="C38" s="207"/>
      <c r="D38" s="224" t="s">
        <v>306</v>
      </c>
      <c r="E38" s="208"/>
    </row>
    <row r="39" spans="1:5">
      <c r="A39" s="247"/>
      <c r="B39" s="207" t="s">
        <v>206</v>
      </c>
      <c r="C39" s="207"/>
      <c r="D39" s="224" t="s">
        <v>306</v>
      </c>
      <c r="E39" s="208"/>
    </row>
    <row r="40" spans="1:5" ht="34.200000000000003">
      <c r="A40" s="247"/>
      <c r="B40" s="207" t="s">
        <v>207</v>
      </c>
      <c r="C40" s="207" t="s">
        <v>208</v>
      </c>
      <c r="D40" s="208" t="s">
        <v>301</v>
      </c>
      <c r="E40" s="208" t="s">
        <v>310</v>
      </c>
    </row>
    <row r="41" spans="1:5" ht="22.8">
      <c r="A41" s="247"/>
      <c r="B41" s="207" t="s">
        <v>209</v>
      </c>
      <c r="C41" s="207"/>
      <c r="D41" s="224"/>
      <c r="E41" s="208"/>
    </row>
    <row r="42" spans="1:5" ht="45.6">
      <c r="A42" s="247"/>
      <c r="B42" s="207" t="s">
        <v>210</v>
      </c>
      <c r="C42" s="213" t="s">
        <v>211</v>
      </c>
      <c r="D42" s="208" t="s">
        <v>304</v>
      </c>
      <c r="E42" s="208"/>
    </row>
    <row r="43" spans="1:5">
      <c r="A43" s="247"/>
      <c r="B43" s="207" t="s">
        <v>212</v>
      </c>
      <c r="C43" s="207"/>
      <c r="D43" s="224"/>
      <c r="E43" s="208"/>
    </row>
    <row r="44" spans="1:5">
      <c r="A44" s="247"/>
      <c r="B44" s="207" t="s">
        <v>213</v>
      </c>
      <c r="C44" s="207"/>
      <c r="D44" s="224"/>
      <c r="E44" s="208" t="s">
        <v>307</v>
      </c>
    </row>
    <row r="45" spans="1:5" ht="45.6">
      <c r="A45" s="248"/>
      <c r="B45" s="207" t="s">
        <v>214</v>
      </c>
      <c r="C45" s="207" t="s">
        <v>215</v>
      </c>
      <c r="D45" s="208" t="s">
        <v>301</v>
      </c>
      <c r="E45" s="208"/>
    </row>
    <row r="46" spans="1:5">
      <c r="A46" s="249" t="s">
        <v>216</v>
      </c>
      <c r="B46" s="207" t="s">
        <v>217</v>
      </c>
      <c r="C46" s="207"/>
      <c r="D46" s="208" t="s">
        <v>304</v>
      </c>
      <c r="E46" s="208"/>
    </row>
    <row r="47" spans="1:5" ht="34.200000000000003">
      <c r="A47" s="249"/>
      <c r="B47" s="207" t="s">
        <v>218</v>
      </c>
      <c r="C47" s="207"/>
      <c r="D47" s="208" t="s">
        <v>301</v>
      </c>
      <c r="E47" s="208"/>
    </row>
    <row r="48" spans="1:5">
      <c r="A48" s="249"/>
      <c r="B48" s="207" t="s">
        <v>219</v>
      </c>
      <c r="C48" s="207"/>
      <c r="D48" s="224">
        <v>0</v>
      </c>
      <c r="E48" s="208"/>
    </row>
    <row r="49" spans="1:5">
      <c r="A49" s="249"/>
      <c r="B49" s="207" t="s">
        <v>220</v>
      </c>
      <c r="C49" s="207"/>
      <c r="D49" s="224">
        <v>0</v>
      </c>
      <c r="E49" s="208"/>
    </row>
    <row r="50" spans="1:5" ht="13.2">
      <c r="A50" s="249"/>
      <c r="B50" s="207" t="s">
        <v>221</v>
      </c>
      <c r="C50" s="207"/>
      <c r="D50" s="224">
        <v>0</v>
      </c>
      <c r="E50" s="208"/>
    </row>
    <row r="51" spans="1:5">
      <c r="A51" s="249"/>
      <c r="B51" s="207" t="s">
        <v>222</v>
      </c>
      <c r="C51" s="207"/>
      <c r="D51" s="208" t="s">
        <v>304</v>
      </c>
      <c r="E51" s="208"/>
    </row>
    <row r="52" spans="1:5" ht="13.2">
      <c r="A52" s="249"/>
      <c r="B52" s="207" t="s">
        <v>223</v>
      </c>
      <c r="C52" s="207"/>
      <c r="D52" s="224">
        <v>0</v>
      </c>
      <c r="E52" s="208"/>
    </row>
    <row r="53" spans="1:5" ht="22.8">
      <c r="A53" s="246" t="s">
        <v>224</v>
      </c>
      <c r="B53" s="207" t="s">
        <v>225</v>
      </c>
      <c r="C53" s="207" t="s">
        <v>226</v>
      </c>
      <c r="D53" s="208" t="s">
        <v>304</v>
      </c>
      <c r="E53" s="208" t="s">
        <v>311</v>
      </c>
    </row>
    <row r="54" spans="1:5" ht="22.8">
      <c r="A54" s="247"/>
      <c r="B54" s="207" t="s">
        <v>227</v>
      </c>
      <c r="C54" s="207" t="s">
        <v>228</v>
      </c>
      <c r="D54" s="208" t="s">
        <v>304</v>
      </c>
      <c r="E54" s="208" t="s">
        <v>311</v>
      </c>
    </row>
    <row r="55" spans="1:5">
      <c r="A55" s="247"/>
      <c r="B55" s="207" t="s">
        <v>229</v>
      </c>
      <c r="C55" s="207"/>
      <c r="D55" s="224"/>
      <c r="E55" s="208" t="s">
        <v>307</v>
      </c>
    </row>
    <row r="56" spans="1:5">
      <c r="A56" s="247"/>
      <c r="B56" s="207" t="s">
        <v>230</v>
      </c>
      <c r="C56" s="207"/>
      <c r="D56" s="224">
        <v>0</v>
      </c>
      <c r="E56" s="208"/>
    </row>
    <row r="57" spans="1:5">
      <c r="A57" s="248"/>
      <c r="B57" s="207" t="s">
        <v>231</v>
      </c>
      <c r="C57" s="207"/>
      <c r="D57" s="224"/>
      <c r="E57" s="208" t="s">
        <v>307</v>
      </c>
    </row>
    <row r="58" spans="1:5">
      <c r="A58" s="250" t="s">
        <v>232</v>
      </c>
      <c r="B58" s="207" t="s">
        <v>233</v>
      </c>
      <c r="C58" s="207"/>
      <c r="D58" s="208"/>
      <c r="E58" s="208"/>
    </row>
    <row r="59" spans="1:5">
      <c r="A59" s="251"/>
      <c r="B59" s="207" t="s">
        <v>234</v>
      </c>
      <c r="C59" s="207"/>
      <c r="D59" s="224"/>
      <c r="E59" s="208"/>
    </row>
    <row r="60" spans="1:5" ht="57">
      <c r="A60" s="246" t="s">
        <v>235</v>
      </c>
      <c r="B60" s="207" t="s">
        <v>236</v>
      </c>
      <c r="C60" s="207" t="s">
        <v>237</v>
      </c>
      <c r="D60" s="208" t="s">
        <v>301</v>
      </c>
      <c r="E60" s="208" t="s">
        <v>308</v>
      </c>
    </row>
    <row r="61" spans="1:5" ht="20.25" customHeight="1">
      <c r="A61" s="247"/>
      <c r="B61" s="207" t="s">
        <v>238</v>
      </c>
      <c r="C61" s="207"/>
      <c r="D61" s="208" t="s">
        <v>301</v>
      </c>
      <c r="E61" s="208"/>
    </row>
    <row r="62" spans="1:5" ht="20.25" customHeight="1">
      <c r="A62" s="247"/>
      <c r="B62" s="207" t="s">
        <v>239</v>
      </c>
      <c r="C62" s="207" t="s">
        <v>240</v>
      </c>
      <c r="D62" s="224"/>
      <c r="E62" s="208"/>
    </row>
    <row r="63" spans="1:5" ht="20.25" customHeight="1">
      <c r="A63" s="248"/>
      <c r="B63" s="207" t="s">
        <v>241</v>
      </c>
      <c r="C63" s="207"/>
      <c r="D63" s="224">
        <f>'GLA Summary Tables'!J65</f>
        <v>560298</v>
      </c>
      <c r="E63" s="208"/>
    </row>
    <row r="64" spans="1:5"/>
    <row r="65" spans="1:5" s="199" customFormat="1" ht="12">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ht="12">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ht="12">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54" zoomScaleNormal="100" workbookViewId="0">
      <selection activeCell="B69" sqref="B69"/>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33203125" style="2" customWidth="1"/>
    <col min="23" max="23" width="12.44140625" style="2" customWidth="1"/>
    <col min="24" max="24" width="10.44140625" style="2" customWidth="1"/>
    <col min="25" max="25" width="9.44140625" style="2" customWidth="1"/>
    <col min="26" max="26" width="10.88671875" style="2" customWidth="1"/>
    <col min="27" max="16384" width="8.332031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265</v>
      </c>
      <c r="B7" s="110">
        <v>88</v>
      </c>
      <c r="C7" s="110">
        <v>1</v>
      </c>
      <c r="D7" s="110">
        <v>88</v>
      </c>
      <c r="E7" s="164">
        <v>14.67</v>
      </c>
      <c r="F7" s="165">
        <v>-112.88</v>
      </c>
      <c r="G7" s="166">
        <v>12.48</v>
      </c>
      <c r="H7" s="166">
        <v>12.48</v>
      </c>
      <c r="I7" s="166">
        <v>2.9</v>
      </c>
      <c r="J7" s="167">
        <v>43.28</v>
      </c>
      <c r="K7" s="167">
        <v>36.82</v>
      </c>
      <c r="L7" s="107">
        <f t="shared" ref="L7" si="0">IF($E7=0,"",D7*E7)</f>
        <v>1290.96</v>
      </c>
      <c r="M7" s="107">
        <f t="shared" ref="M7:M57" si="1">IF($F7=0,"",($F7/$B7)*$D7)</f>
        <v>-112.88</v>
      </c>
      <c r="N7" s="107">
        <f t="shared" ref="N7:N57" si="2">IF($G7=0,"",$D7*$G7)</f>
        <v>1098.24</v>
      </c>
      <c r="O7" s="108">
        <f>IF($G7=0,"",$N7+M7)</f>
        <v>985.36</v>
      </c>
      <c r="P7" s="108">
        <f>IF($G7=0,"",$L7-O7)</f>
        <v>305.60000000000002</v>
      </c>
      <c r="Q7" s="108">
        <f t="shared" ref="Q7:Q57" si="3">IF($H7=0,"",$D7*$H7)</f>
        <v>1098.24</v>
      </c>
      <c r="R7" s="108">
        <f>IF($H7=0,"",$Q7+$M7)</f>
        <v>985.36</v>
      </c>
      <c r="S7" s="108">
        <f>IF($H7=0,"",$O7-$R7)</f>
        <v>0</v>
      </c>
      <c r="T7" s="108">
        <f>IF($I7=0,"",$D7*$I7)</f>
        <v>255.2</v>
      </c>
      <c r="U7" s="175">
        <f>IF($H7=0,"",$R7-$T7)</f>
        <v>730.16000000000008</v>
      </c>
    </row>
    <row r="8" spans="1:21" ht="13.5" customHeight="1">
      <c r="A8" s="109" t="s">
        <v>266</v>
      </c>
      <c r="B8" s="110">
        <v>51.63</v>
      </c>
      <c r="C8" s="110">
        <v>1</v>
      </c>
      <c r="D8" s="110">
        <v>51.63</v>
      </c>
      <c r="E8" s="164">
        <v>18.010000000000002</v>
      </c>
      <c r="F8" s="168">
        <v>-55.25</v>
      </c>
      <c r="G8" s="166">
        <v>16.03</v>
      </c>
      <c r="H8" s="166">
        <v>16.03</v>
      </c>
      <c r="I8" s="166">
        <v>3.62</v>
      </c>
      <c r="J8" s="167">
        <v>44.41</v>
      </c>
      <c r="K8" s="167">
        <v>40.11</v>
      </c>
      <c r="L8" s="107">
        <f t="shared" ref="L8:L57" si="4">IF($E8=0,"",D8*E8)</f>
        <v>929.85630000000015</v>
      </c>
      <c r="M8" s="107">
        <f t="shared" si="1"/>
        <v>-55.25</v>
      </c>
      <c r="N8" s="107">
        <f t="shared" si="2"/>
        <v>827.62890000000004</v>
      </c>
      <c r="O8" s="108">
        <f t="shared" ref="O8:O57" si="5">IF($G8=0,"",$N8+M8)</f>
        <v>772.37890000000004</v>
      </c>
      <c r="P8" s="108">
        <f t="shared" ref="P8:P57" si="6">IF($G8=0,"",$L8-O8)</f>
        <v>157.4774000000001</v>
      </c>
      <c r="Q8" s="108">
        <f t="shared" si="3"/>
        <v>827.62890000000004</v>
      </c>
      <c r="R8" s="108">
        <f t="shared" ref="R8:R57" si="7">IF($H8=0,"",$Q8+$M8)</f>
        <v>772.37890000000004</v>
      </c>
      <c r="S8" s="108">
        <f t="shared" ref="S8:S57" si="8">IF($H8=0,"",$O8-$R8)</f>
        <v>0</v>
      </c>
      <c r="T8" s="108">
        <f t="shared" ref="T8:T57" si="9">IF($I8=0,"",$D8*$I8)</f>
        <v>186.90060000000003</v>
      </c>
      <c r="U8" s="175">
        <f t="shared" ref="U8:U57" si="10">IF($H8=0,"",$R8-$T8)</f>
        <v>585.47829999999999</v>
      </c>
    </row>
    <row r="9" spans="1:21" ht="13.5" customHeight="1">
      <c r="A9" s="109" t="s">
        <v>267</v>
      </c>
      <c r="B9" s="110">
        <v>51.63</v>
      </c>
      <c r="C9" s="110">
        <v>1</v>
      </c>
      <c r="D9" s="110">
        <v>51.63</v>
      </c>
      <c r="E9" s="164">
        <v>17.829999999999998</v>
      </c>
      <c r="F9" s="168">
        <v>-55.26</v>
      </c>
      <c r="G9" s="166">
        <v>15.89</v>
      </c>
      <c r="H9" s="166">
        <v>15.89</v>
      </c>
      <c r="I9" s="166">
        <v>3.59</v>
      </c>
      <c r="J9" s="167">
        <v>43.62</v>
      </c>
      <c r="K9" s="167">
        <v>39.39</v>
      </c>
      <c r="L9" s="107">
        <f t="shared" si="4"/>
        <v>920.56290000000001</v>
      </c>
      <c r="M9" s="107">
        <f t="shared" si="1"/>
        <v>-55.26</v>
      </c>
      <c r="N9" s="107">
        <f t="shared" si="2"/>
        <v>820.40070000000003</v>
      </c>
      <c r="O9" s="108">
        <f t="shared" si="5"/>
        <v>765.14070000000004</v>
      </c>
      <c r="P9" s="108">
        <f t="shared" si="6"/>
        <v>155.42219999999998</v>
      </c>
      <c r="Q9" s="108">
        <f t="shared" si="3"/>
        <v>820.40070000000003</v>
      </c>
      <c r="R9" s="108">
        <f t="shared" si="7"/>
        <v>765.14070000000004</v>
      </c>
      <c r="S9" s="108">
        <f t="shared" si="8"/>
        <v>0</v>
      </c>
      <c r="T9" s="108">
        <f t="shared" si="9"/>
        <v>185.35169999999999</v>
      </c>
      <c r="U9" s="175">
        <f t="shared" si="10"/>
        <v>579.78899999999999</v>
      </c>
    </row>
    <row r="10" spans="1:21" ht="13.5" customHeight="1">
      <c r="A10" s="109" t="s">
        <v>268</v>
      </c>
      <c r="B10" s="110">
        <v>52</v>
      </c>
      <c r="C10" s="110">
        <v>1</v>
      </c>
      <c r="D10" s="110">
        <v>52</v>
      </c>
      <c r="E10" s="164">
        <v>17.739999999999998</v>
      </c>
      <c r="F10" s="168">
        <v>-66.739999999999995</v>
      </c>
      <c r="G10" s="166">
        <v>16.25</v>
      </c>
      <c r="H10" s="166">
        <v>16.25</v>
      </c>
      <c r="I10" s="166">
        <v>3.67</v>
      </c>
      <c r="J10" s="167">
        <v>44.54</v>
      </c>
      <c r="K10" s="167">
        <v>41.22</v>
      </c>
      <c r="L10" s="107">
        <f t="shared" si="4"/>
        <v>922.4799999999999</v>
      </c>
      <c r="M10" s="107">
        <f t="shared" si="1"/>
        <v>-66.739999999999995</v>
      </c>
      <c r="N10" s="107">
        <f t="shared" si="2"/>
        <v>845</v>
      </c>
      <c r="O10" s="108">
        <f t="shared" si="5"/>
        <v>778.26</v>
      </c>
      <c r="P10" s="108">
        <f t="shared" si="6"/>
        <v>144.21999999999991</v>
      </c>
      <c r="Q10" s="108">
        <f t="shared" si="3"/>
        <v>845</v>
      </c>
      <c r="R10" s="108">
        <f t="shared" si="7"/>
        <v>778.26</v>
      </c>
      <c r="S10" s="108">
        <f t="shared" si="8"/>
        <v>0</v>
      </c>
      <c r="T10" s="108">
        <f t="shared" si="9"/>
        <v>190.84</v>
      </c>
      <c r="U10" s="175">
        <f t="shared" si="10"/>
        <v>587.41999999999996</v>
      </c>
    </row>
    <row r="11" spans="1:21" ht="13.5" customHeight="1">
      <c r="A11" s="109" t="s">
        <v>269</v>
      </c>
      <c r="B11" s="110">
        <v>52</v>
      </c>
      <c r="C11" s="110">
        <v>1</v>
      </c>
      <c r="D11" s="110">
        <v>52</v>
      </c>
      <c r="E11" s="164">
        <v>18.989999999999998</v>
      </c>
      <c r="F11" s="168">
        <v>-66.739999999999995</v>
      </c>
      <c r="G11" s="166">
        <v>17.12</v>
      </c>
      <c r="H11" s="166">
        <v>17.12</v>
      </c>
      <c r="I11" s="166">
        <v>3.84</v>
      </c>
      <c r="J11" s="167">
        <v>50.17</v>
      </c>
      <c r="K11" s="167">
        <v>45.29</v>
      </c>
      <c r="L11" s="107">
        <f t="shared" si="4"/>
        <v>987.4799999999999</v>
      </c>
      <c r="M11" s="107">
        <f t="shared" si="1"/>
        <v>-66.739999999999995</v>
      </c>
      <c r="N11" s="107">
        <f t="shared" si="2"/>
        <v>890.24</v>
      </c>
      <c r="O11" s="108">
        <f t="shared" si="5"/>
        <v>823.5</v>
      </c>
      <c r="P11" s="108">
        <f t="shared" si="6"/>
        <v>163.9799999999999</v>
      </c>
      <c r="Q11" s="108">
        <f t="shared" si="3"/>
        <v>890.24</v>
      </c>
      <c r="R11" s="108">
        <f t="shared" si="7"/>
        <v>823.5</v>
      </c>
      <c r="S11" s="108">
        <f t="shared" si="8"/>
        <v>0</v>
      </c>
      <c r="T11" s="108">
        <f t="shared" si="9"/>
        <v>199.68</v>
      </c>
      <c r="U11" s="175">
        <f t="shared" si="10"/>
        <v>623.81999999999994</v>
      </c>
    </row>
    <row r="12" spans="1:21" ht="13.5" customHeight="1">
      <c r="A12" s="109" t="s">
        <v>270</v>
      </c>
      <c r="B12" s="110">
        <v>88</v>
      </c>
      <c r="C12" s="110">
        <v>1</v>
      </c>
      <c r="D12" s="110">
        <v>88</v>
      </c>
      <c r="E12" s="164">
        <v>12.13</v>
      </c>
      <c r="F12" s="168">
        <v>-112.88</v>
      </c>
      <c r="G12" s="166">
        <v>10.72</v>
      </c>
      <c r="H12" s="166">
        <v>10.72</v>
      </c>
      <c r="I12" s="166">
        <v>2.56</v>
      </c>
      <c r="J12" s="167">
        <v>31.69</v>
      </c>
      <c r="K12" s="167">
        <v>29.24</v>
      </c>
      <c r="L12" s="107">
        <f t="shared" si="4"/>
        <v>1067.44</v>
      </c>
      <c r="M12" s="107">
        <f t="shared" si="1"/>
        <v>-112.88</v>
      </c>
      <c r="N12" s="107">
        <f t="shared" si="2"/>
        <v>943.36</v>
      </c>
      <c r="O12" s="108">
        <f t="shared" si="5"/>
        <v>830.48</v>
      </c>
      <c r="P12" s="108">
        <f t="shared" si="6"/>
        <v>236.96000000000004</v>
      </c>
      <c r="Q12" s="108">
        <f t="shared" si="3"/>
        <v>943.36</v>
      </c>
      <c r="R12" s="108">
        <f t="shared" si="7"/>
        <v>830.48</v>
      </c>
      <c r="S12" s="108">
        <f t="shared" si="8"/>
        <v>0</v>
      </c>
      <c r="T12" s="108">
        <f t="shared" si="9"/>
        <v>225.28</v>
      </c>
      <c r="U12" s="175">
        <f t="shared" si="10"/>
        <v>605.20000000000005</v>
      </c>
    </row>
    <row r="13" spans="1:21" ht="13.5" customHeight="1">
      <c r="A13" s="109" t="s">
        <v>271</v>
      </c>
      <c r="B13" s="110">
        <v>51.63</v>
      </c>
      <c r="C13" s="110">
        <v>1</v>
      </c>
      <c r="D13" s="110">
        <v>51.63</v>
      </c>
      <c r="E13" s="164">
        <v>15.27</v>
      </c>
      <c r="F13" s="168">
        <v>-55.26</v>
      </c>
      <c r="G13" s="166">
        <v>14.01</v>
      </c>
      <c r="H13" s="166">
        <v>14.01</v>
      </c>
      <c r="I13" s="166">
        <v>3.23</v>
      </c>
      <c r="J13" s="167">
        <v>32.01</v>
      </c>
      <c r="K13" s="167">
        <v>31.35</v>
      </c>
      <c r="L13" s="107">
        <f t="shared" si="4"/>
        <v>788.39009999999996</v>
      </c>
      <c r="M13" s="107">
        <f t="shared" si="1"/>
        <v>-55.26</v>
      </c>
      <c r="N13" s="107">
        <f t="shared" si="2"/>
        <v>723.33630000000005</v>
      </c>
      <c r="O13" s="108">
        <f t="shared" si="5"/>
        <v>668.07630000000006</v>
      </c>
      <c r="P13" s="108">
        <f t="shared" si="6"/>
        <v>120.3137999999999</v>
      </c>
      <c r="Q13" s="108">
        <f t="shared" si="3"/>
        <v>723.33630000000005</v>
      </c>
      <c r="R13" s="108">
        <f t="shared" si="7"/>
        <v>668.07630000000006</v>
      </c>
      <c r="S13" s="108">
        <f t="shared" si="8"/>
        <v>0</v>
      </c>
      <c r="T13" s="108">
        <f t="shared" si="9"/>
        <v>166.76490000000001</v>
      </c>
      <c r="U13" s="175">
        <f t="shared" si="10"/>
        <v>501.31140000000005</v>
      </c>
    </row>
    <row r="14" spans="1:21" ht="13.5" customHeight="1">
      <c r="A14" s="109" t="s">
        <v>272</v>
      </c>
      <c r="B14" s="110">
        <v>51.63</v>
      </c>
      <c r="C14" s="110">
        <v>1</v>
      </c>
      <c r="D14" s="110">
        <v>51.63</v>
      </c>
      <c r="E14" s="164">
        <v>15.09</v>
      </c>
      <c r="F14" s="168">
        <v>-55.26</v>
      </c>
      <c r="G14" s="166">
        <v>13.88</v>
      </c>
      <c r="H14" s="166">
        <v>13.88</v>
      </c>
      <c r="I14" s="166">
        <v>3.21</v>
      </c>
      <c r="J14" s="167">
        <v>31.23</v>
      </c>
      <c r="K14" s="167">
        <v>30.64</v>
      </c>
      <c r="L14" s="107">
        <f t="shared" si="4"/>
        <v>779.09670000000006</v>
      </c>
      <c r="M14" s="107">
        <f t="shared" si="1"/>
        <v>-55.26</v>
      </c>
      <c r="N14" s="107">
        <f t="shared" si="2"/>
        <v>716.62440000000004</v>
      </c>
      <c r="O14" s="108">
        <f t="shared" si="5"/>
        <v>661.36440000000005</v>
      </c>
      <c r="P14" s="108">
        <f t="shared" si="6"/>
        <v>117.73230000000001</v>
      </c>
      <c r="Q14" s="108">
        <f t="shared" si="3"/>
        <v>716.62440000000004</v>
      </c>
      <c r="R14" s="108">
        <f t="shared" si="7"/>
        <v>661.36440000000005</v>
      </c>
      <c r="S14" s="108">
        <f t="shared" si="8"/>
        <v>0</v>
      </c>
      <c r="T14" s="108">
        <f t="shared" si="9"/>
        <v>165.73230000000001</v>
      </c>
      <c r="U14" s="175">
        <f t="shared" si="10"/>
        <v>495.63210000000004</v>
      </c>
    </row>
    <row r="15" spans="1:21" ht="13.5" customHeight="1">
      <c r="A15" s="109" t="s">
        <v>273</v>
      </c>
      <c r="B15" s="110">
        <v>52</v>
      </c>
      <c r="C15" s="110">
        <v>1</v>
      </c>
      <c r="D15" s="110">
        <v>52</v>
      </c>
      <c r="E15" s="164">
        <v>17.739999999999998</v>
      </c>
      <c r="F15" s="168">
        <v>-66.739999999999995</v>
      </c>
      <c r="G15" s="166">
        <v>16.25</v>
      </c>
      <c r="H15" s="166">
        <v>16.25</v>
      </c>
      <c r="I15" s="166">
        <v>3.67</v>
      </c>
      <c r="J15" s="167">
        <v>44.54</v>
      </c>
      <c r="K15" s="167">
        <v>41.22</v>
      </c>
      <c r="L15" s="107">
        <f t="shared" si="4"/>
        <v>922.4799999999999</v>
      </c>
      <c r="M15" s="107">
        <f t="shared" si="1"/>
        <v>-66.739999999999995</v>
      </c>
      <c r="N15" s="107">
        <f t="shared" si="2"/>
        <v>845</v>
      </c>
      <c r="O15" s="108">
        <f t="shared" si="5"/>
        <v>778.26</v>
      </c>
      <c r="P15" s="108">
        <f t="shared" si="6"/>
        <v>144.21999999999991</v>
      </c>
      <c r="Q15" s="108">
        <f t="shared" si="3"/>
        <v>845</v>
      </c>
      <c r="R15" s="108">
        <f t="shared" si="7"/>
        <v>778.26</v>
      </c>
      <c r="S15" s="108">
        <f t="shared" si="8"/>
        <v>0</v>
      </c>
      <c r="T15" s="108">
        <f t="shared" si="9"/>
        <v>190.84</v>
      </c>
      <c r="U15" s="175">
        <f t="shared" si="10"/>
        <v>587.41999999999996</v>
      </c>
    </row>
    <row r="16" spans="1:21" ht="13.5" customHeight="1">
      <c r="A16" s="109" t="s">
        <v>274</v>
      </c>
      <c r="B16" s="110">
        <v>52</v>
      </c>
      <c r="C16" s="110">
        <v>1</v>
      </c>
      <c r="D16" s="110">
        <v>52</v>
      </c>
      <c r="E16" s="164">
        <v>16.13</v>
      </c>
      <c r="F16" s="168">
        <v>-66.739999999999995</v>
      </c>
      <c r="G16" s="166">
        <v>15.35</v>
      </c>
      <c r="H16" s="166">
        <v>15.35</v>
      </c>
      <c r="I16" s="166">
        <v>3.5</v>
      </c>
      <c r="J16" s="167">
        <v>37.14</v>
      </c>
      <c r="K16" s="167">
        <v>37.799999999999997</v>
      </c>
      <c r="L16" s="107">
        <f t="shared" si="4"/>
        <v>838.76</v>
      </c>
      <c r="M16" s="107">
        <f t="shared" si="1"/>
        <v>-66.739999999999995</v>
      </c>
      <c r="N16" s="107">
        <f t="shared" si="2"/>
        <v>798.19999999999993</v>
      </c>
      <c r="O16" s="108">
        <f t="shared" si="5"/>
        <v>731.45999999999992</v>
      </c>
      <c r="P16" s="108">
        <f t="shared" si="6"/>
        <v>107.30000000000007</v>
      </c>
      <c r="Q16" s="108">
        <f t="shared" si="3"/>
        <v>798.19999999999993</v>
      </c>
      <c r="R16" s="108">
        <f t="shared" si="7"/>
        <v>731.45999999999992</v>
      </c>
      <c r="S16" s="108">
        <f t="shared" si="8"/>
        <v>0</v>
      </c>
      <c r="T16" s="108">
        <f t="shared" si="9"/>
        <v>182</v>
      </c>
      <c r="U16" s="175">
        <f t="shared" si="10"/>
        <v>549.45999999999992</v>
      </c>
    </row>
    <row r="17" spans="1:21" ht="13.5" customHeight="1">
      <c r="A17" s="109" t="s">
        <v>275</v>
      </c>
      <c r="B17" s="110">
        <v>67</v>
      </c>
      <c r="C17" s="110">
        <v>1</v>
      </c>
      <c r="D17" s="110">
        <v>67</v>
      </c>
      <c r="E17" s="164">
        <v>16.420000000000002</v>
      </c>
      <c r="F17" s="168">
        <v>-143.04</v>
      </c>
      <c r="G17" s="166">
        <v>15.16</v>
      </c>
      <c r="H17" s="166">
        <v>15.16</v>
      </c>
      <c r="I17" s="166">
        <v>3.42</v>
      </c>
      <c r="J17" s="167">
        <v>46.76</v>
      </c>
      <c r="K17" s="167">
        <v>41.97</v>
      </c>
      <c r="L17" s="107">
        <f t="shared" si="4"/>
        <v>1100.1400000000001</v>
      </c>
      <c r="M17" s="107">
        <f t="shared" si="1"/>
        <v>-143.04</v>
      </c>
      <c r="N17" s="107">
        <f t="shared" si="2"/>
        <v>1015.72</v>
      </c>
      <c r="O17" s="108">
        <f t="shared" si="5"/>
        <v>872.68000000000006</v>
      </c>
      <c r="P17" s="108">
        <f t="shared" si="6"/>
        <v>227.46000000000004</v>
      </c>
      <c r="Q17" s="108">
        <f t="shared" si="3"/>
        <v>1015.72</v>
      </c>
      <c r="R17" s="108">
        <f t="shared" si="7"/>
        <v>872.68000000000006</v>
      </c>
      <c r="S17" s="108">
        <f t="shared" si="8"/>
        <v>0</v>
      </c>
      <c r="T17" s="108">
        <f t="shared" si="9"/>
        <v>229.14</v>
      </c>
      <c r="U17" s="175">
        <f t="shared" si="10"/>
        <v>643.54000000000008</v>
      </c>
    </row>
    <row r="18" spans="1:21" ht="13.5" customHeight="1">
      <c r="A18" s="109" t="s">
        <v>276</v>
      </c>
      <c r="B18" s="110">
        <v>51.63</v>
      </c>
      <c r="C18" s="110">
        <v>1</v>
      </c>
      <c r="D18" s="110">
        <v>51.63</v>
      </c>
      <c r="E18" s="164">
        <v>18.809999999999999</v>
      </c>
      <c r="F18" s="168">
        <v>-66.260000000000005</v>
      </c>
      <c r="G18" s="166">
        <v>16.79</v>
      </c>
      <c r="H18" s="166">
        <v>16.79</v>
      </c>
      <c r="I18" s="166">
        <v>3.8</v>
      </c>
      <c r="J18" s="167">
        <v>49.06</v>
      </c>
      <c r="K18" s="167">
        <v>43.81</v>
      </c>
      <c r="L18" s="107">
        <f t="shared" si="4"/>
        <v>971.16030000000001</v>
      </c>
      <c r="M18" s="107">
        <f t="shared" si="1"/>
        <v>-66.260000000000005</v>
      </c>
      <c r="N18" s="107">
        <f t="shared" si="2"/>
        <v>866.86770000000001</v>
      </c>
      <c r="O18" s="108">
        <f t="shared" si="5"/>
        <v>800.60770000000002</v>
      </c>
      <c r="P18" s="108">
        <f t="shared" si="6"/>
        <v>170.55259999999998</v>
      </c>
      <c r="Q18" s="108">
        <f t="shared" si="3"/>
        <v>866.86770000000001</v>
      </c>
      <c r="R18" s="108">
        <f t="shared" si="7"/>
        <v>800.60770000000002</v>
      </c>
      <c r="S18" s="108">
        <f t="shared" si="8"/>
        <v>0</v>
      </c>
      <c r="T18" s="108">
        <f t="shared" si="9"/>
        <v>196.19399999999999</v>
      </c>
      <c r="U18" s="175">
        <f t="shared" si="10"/>
        <v>604.41370000000006</v>
      </c>
    </row>
    <row r="19" spans="1:21" ht="13.5" customHeight="1">
      <c r="A19" s="109" t="s">
        <v>277</v>
      </c>
      <c r="B19" s="110">
        <v>51.63</v>
      </c>
      <c r="C19" s="110">
        <v>1</v>
      </c>
      <c r="D19" s="110">
        <v>51.63</v>
      </c>
      <c r="E19" s="164">
        <v>15.52</v>
      </c>
      <c r="F19" s="168">
        <v>-66.260000000000005</v>
      </c>
      <c r="G19" s="166">
        <v>14.24</v>
      </c>
      <c r="H19" s="166">
        <v>14.24</v>
      </c>
      <c r="I19" s="166">
        <v>3.31</v>
      </c>
      <c r="J19" s="167">
        <v>34.14</v>
      </c>
      <c r="K19" s="167">
        <v>33.380000000000003</v>
      </c>
      <c r="L19" s="107">
        <f t="shared" si="4"/>
        <v>801.29759999999999</v>
      </c>
      <c r="M19" s="107">
        <f t="shared" si="1"/>
        <v>-66.260000000000005</v>
      </c>
      <c r="N19" s="107">
        <f t="shared" si="2"/>
        <v>735.21120000000008</v>
      </c>
      <c r="O19" s="108">
        <f t="shared" si="5"/>
        <v>668.95120000000009</v>
      </c>
      <c r="P19" s="108">
        <f t="shared" si="6"/>
        <v>132.3463999999999</v>
      </c>
      <c r="Q19" s="108">
        <f t="shared" si="3"/>
        <v>735.21120000000008</v>
      </c>
      <c r="R19" s="108">
        <f t="shared" si="7"/>
        <v>668.95120000000009</v>
      </c>
      <c r="S19" s="108">
        <f t="shared" si="8"/>
        <v>0</v>
      </c>
      <c r="T19" s="108">
        <f t="shared" si="9"/>
        <v>170.89530000000002</v>
      </c>
      <c r="U19" s="175">
        <f t="shared" si="10"/>
        <v>498.05590000000007</v>
      </c>
    </row>
    <row r="20" spans="1:21" ht="13.5" customHeight="1">
      <c r="A20" s="109" t="s">
        <v>278</v>
      </c>
      <c r="B20" s="110">
        <v>52</v>
      </c>
      <c r="C20" s="110">
        <v>1</v>
      </c>
      <c r="D20" s="110">
        <v>52</v>
      </c>
      <c r="E20" s="164">
        <v>15.65</v>
      </c>
      <c r="F20" s="168">
        <v>-83.36</v>
      </c>
      <c r="G20" s="166">
        <v>14.95</v>
      </c>
      <c r="H20" s="166">
        <v>14.95</v>
      </c>
      <c r="I20" s="166">
        <v>3.45</v>
      </c>
      <c r="J20" s="167">
        <v>36.44</v>
      </c>
      <c r="K20" s="167">
        <v>36.78</v>
      </c>
      <c r="L20" s="107">
        <f t="shared" si="4"/>
        <v>813.80000000000007</v>
      </c>
      <c r="M20" s="107">
        <f t="shared" si="1"/>
        <v>-83.36</v>
      </c>
      <c r="N20" s="107">
        <f t="shared" si="2"/>
        <v>777.4</v>
      </c>
      <c r="O20" s="108">
        <f t="shared" si="5"/>
        <v>694.04</v>
      </c>
      <c r="P20" s="108">
        <f t="shared" si="6"/>
        <v>119.7600000000001</v>
      </c>
      <c r="Q20" s="108">
        <f t="shared" si="3"/>
        <v>777.4</v>
      </c>
      <c r="R20" s="108">
        <f t="shared" si="7"/>
        <v>694.04</v>
      </c>
      <c r="S20" s="108">
        <f t="shared" si="8"/>
        <v>0</v>
      </c>
      <c r="T20" s="108">
        <f t="shared" si="9"/>
        <v>179.4</v>
      </c>
      <c r="U20" s="175">
        <f t="shared" si="10"/>
        <v>514.64</v>
      </c>
    </row>
    <row r="21" spans="1:21" ht="13.5" customHeight="1">
      <c r="A21" s="109" t="s">
        <v>279</v>
      </c>
      <c r="B21" s="110">
        <v>52</v>
      </c>
      <c r="C21" s="110">
        <v>1</v>
      </c>
      <c r="D21" s="110">
        <v>52</v>
      </c>
      <c r="E21" s="164">
        <v>16.87</v>
      </c>
      <c r="F21" s="168">
        <v>-66.739999999999995</v>
      </c>
      <c r="G21" s="166">
        <v>15.79</v>
      </c>
      <c r="H21" s="166">
        <v>15.79</v>
      </c>
      <c r="I21" s="166">
        <v>3.61</v>
      </c>
      <c r="J21" s="167">
        <v>40.479999999999997</v>
      </c>
      <c r="K21" s="167">
        <v>40.78</v>
      </c>
      <c r="L21" s="107">
        <f t="shared" si="4"/>
        <v>877.24</v>
      </c>
      <c r="M21" s="107">
        <f t="shared" si="1"/>
        <v>-66.739999999999995</v>
      </c>
      <c r="N21" s="107">
        <f t="shared" si="2"/>
        <v>821.07999999999993</v>
      </c>
      <c r="O21" s="108">
        <f t="shared" si="5"/>
        <v>754.33999999999992</v>
      </c>
      <c r="P21" s="108">
        <f t="shared" si="6"/>
        <v>122.90000000000009</v>
      </c>
      <c r="Q21" s="108">
        <f t="shared" si="3"/>
        <v>821.07999999999993</v>
      </c>
      <c r="R21" s="108">
        <f t="shared" si="7"/>
        <v>754.33999999999992</v>
      </c>
      <c r="S21" s="108">
        <f t="shared" si="8"/>
        <v>0</v>
      </c>
      <c r="T21" s="108">
        <f t="shared" si="9"/>
        <v>187.72</v>
      </c>
      <c r="U21" s="175">
        <f t="shared" si="10"/>
        <v>566.61999999999989</v>
      </c>
    </row>
    <row r="22" spans="1:21" ht="13.5" customHeight="1">
      <c r="A22" s="109" t="s">
        <v>280</v>
      </c>
      <c r="B22" s="110">
        <v>50</v>
      </c>
      <c r="C22" s="110">
        <v>1</v>
      </c>
      <c r="D22" s="110">
        <v>50</v>
      </c>
      <c r="E22" s="164">
        <v>16.899999999999999</v>
      </c>
      <c r="F22" s="168">
        <v>-64.17</v>
      </c>
      <c r="G22" s="166">
        <v>16.62</v>
      </c>
      <c r="H22" s="166">
        <v>16.62</v>
      </c>
      <c r="I22" s="166">
        <v>3.78</v>
      </c>
      <c r="J22" s="167">
        <v>39.520000000000003</v>
      </c>
      <c r="K22" s="167">
        <v>43.84</v>
      </c>
      <c r="L22" s="107">
        <f t="shared" si="4"/>
        <v>844.99999999999989</v>
      </c>
      <c r="M22" s="107">
        <f t="shared" si="1"/>
        <v>-64.17</v>
      </c>
      <c r="N22" s="107">
        <f t="shared" si="2"/>
        <v>831</v>
      </c>
      <c r="O22" s="108">
        <f t="shared" si="5"/>
        <v>766.83</v>
      </c>
      <c r="P22" s="108">
        <f t="shared" si="6"/>
        <v>78.169999999999845</v>
      </c>
      <c r="Q22" s="108">
        <f t="shared" si="3"/>
        <v>831</v>
      </c>
      <c r="R22" s="108">
        <f t="shared" si="7"/>
        <v>766.83</v>
      </c>
      <c r="S22" s="108">
        <f t="shared" si="8"/>
        <v>0</v>
      </c>
      <c r="T22" s="108">
        <f t="shared" si="9"/>
        <v>189</v>
      </c>
      <c r="U22" s="175">
        <f t="shared" si="10"/>
        <v>577.83000000000004</v>
      </c>
    </row>
    <row r="23" spans="1:21" ht="13.5" customHeight="1">
      <c r="A23" s="109" t="s">
        <v>281</v>
      </c>
      <c r="B23" s="110">
        <v>52</v>
      </c>
      <c r="C23" s="110">
        <v>1</v>
      </c>
      <c r="D23" s="110">
        <v>52</v>
      </c>
      <c r="E23" s="164">
        <v>17.510000000000002</v>
      </c>
      <c r="F23" s="168">
        <v>-83.36</v>
      </c>
      <c r="G23" s="166">
        <v>16.420000000000002</v>
      </c>
      <c r="H23" s="166">
        <v>16.420000000000002</v>
      </c>
      <c r="I23" s="166">
        <v>3.69</v>
      </c>
      <c r="J23" s="167">
        <v>44.98</v>
      </c>
      <c r="K23" s="167">
        <v>40.96</v>
      </c>
      <c r="L23" s="107">
        <f t="shared" si="4"/>
        <v>910.5200000000001</v>
      </c>
      <c r="M23" s="107">
        <f t="shared" si="1"/>
        <v>-83.36</v>
      </c>
      <c r="N23" s="107">
        <f t="shared" si="2"/>
        <v>853.84000000000015</v>
      </c>
      <c r="O23" s="108">
        <f t="shared" si="5"/>
        <v>770.48000000000013</v>
      </c>
      <c r="P23" s="108">
        <f t="shared" si="6"/>
        <v>140.03999999999996</v>
      </c>
      <c r="Q23" s="108">
        <f t="shared" si="3"/>
        <v>853.84000000000015</v>
      </c>
      <c r="R23" s="108">
        <f t="shared" si="7"/>
        <v>770.48000000000013</v>
      </c>
      <c r="S23" s="108">
        <f t="shared" si="8"/>
        <v>0</v>
      </c>
      <c r="T23" s="108">
        <f t="shared" si="9"/>
        <v>191.88</v>
      </c>
      <c r="U23" s="175">
        <f t="shared" si="10"/>
        <v>578.60000000000014</v>
      </c>
    </row>
    <row r="24" spans="1:21" ht="13.5" customHeight="1">
      <c r="A24" s="109" t="s">
        <v>282</v>
      </c>
      <c r="B24" s="110">
        <v>52</v>
      </c>
      <c r="C24" s="110">
        <v>1</v>
      </c>
      <c r="D24" s="110">
        <v>52</v>
      </c>
      <c r="E24" s="164">
        <v>19.600000000000001</v>
      </c>
      <c r="F24" s="168">
        <v>-83.36</v>
      </c>
      <c r="G24" s="166">
        <v>18</v>
      </c>
      <c r="H24" s="166">
        <v>18</v>
      </c>
      <c r="I24" s="166">
        <v>4</v>
      </c>
      <c r="J24" s="167">
        <v>54.42</v>
      </c>
      <c r="K24" s="167">
        <v>48.23</v>
      </c>
      <c r="L24" s="107">
        <f t="shared" si="4"/>
        <v>1019.2</v>
      </c>
      <c r="M24" s="107">
        <f t="shared" si="1"/>
        <v>-83.36</v>
      </c>
      <c r="N24" s="107">
        <f t="shared" si="2"/>
        <v>936</v>
      </c>
      <c r="O24" s="108">
        <f t="shared" si="5"/>
        <v>852.64</v>
      </c>
      <c r="P24" s="108">
        <f t="shared" si="6"/>
        <v>166.56000000000006</v>
      </c>
      <c r="Q24" s="108">
        <f t="shared" si="3"/>
        <v>936</v>
      </c>
      <c r="R24" s="108">
        <f t="shared" si="7"/>
        <v>852.64</v>
      </c>
      <c r="S24" s="108">
        <f t="shared" si="8"/>
        <v>0</v>
      </c>
      <c r="T24" s="108">
        <f t="shared" si="9"/>
        <v>208</v>
      </c>
      <c r="U24" s="175">
        <f t="shared" si="10"/>
        <v>644.64</v>
      </c>
    </row>
    <row r="25" spans="1:21" ht="13.5" customHeight="1">
      <c r="A25" s="109" t="s">
        <v>283</v>
      </c>
      <c r="B25" s="110">
        <v>50</v>
      </c>
      <c r="C25" s="110">
        <v>1</v>
      </c>
      <c r="D25" s="110">
        <v>50</v>
      </c>
      <c r="E25" s="164">
        <v>20.65</v>
      </c>
      <c r="F25" s="168">
        <v>-64.17</v>
      </c>
      <c r="G25" s="166">
        <v>19.55</v>
      </c>
      <c r="H25" s="166">
        <v>19.55</v>
      </c>
      <c r="I25" s="166">
        <v>4.32</v>
      </c>
      <c r="J25" s="167">
        <v>56.55</v>
      </c>
      <c r="K25" s="167">
        <v>54.71</v>
      </c>
      <c r="L25" s="107">
        <f t="shared" si="4"/>
        <v>1032.5</v>
      </c>
      <c r="M25" s="107">
        <f t="shared" si="1"/>
        <v>-64.17</v>
      </c>
      <c r="N25" s="107">
        <f t="shared" si="2"/>
        <v>977.5</v>
      </c>
      <c r="O25" s="108">
        <f t="shared" si="5"/>
        <v>913.33</v>
      </c>
      <c r="P25" s="108">
        <f t="shared" si="6"/>
        <v>119.16999999999996</v>
      </c>
      <c r="Q25" s="108">
        <f t="shared" si="3"/>
        <v>977.5</v>
      </c>
      <c r="R25" s="108">
        <f t="shared" si="7"/>
        <v>913.33</v>
      </c>
      <c r="S25" s="108">
        <f t="shared" si="8"/>
        <v>0</v>
      </c>
      <c r="T25" s="108">
        <f t="shared" si="9"/>
        <v>216</v>
      </c>
      <c r="U25" s="175">
        <f t="shared" si="10"/>
        <v>697.33</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t="s">
        <v>284</v>
      </c>
      <c r="B27" s="110">
        <v>50</v>
      </c>
      <c r="C27" s="110">
        <v>1</v>
      </c>
      <c r="D27" s="110">
        <v>50</v>
      </c>
      <c r="E27" s="164">
        <v>19.559999999999999</v>
      </c>
      <c r="F27" s="168">
        <v>-64.17</v>
      </c>
      <c r="G27" s="166">
        <v>18.649999999999999</v>
      </c>
      <c r="H27" s="166">
        <v>18.649999999999999</v>
      </c>
      <c r="I27" s="166">
        <v>7.73</v>
      </c>
      <c r="J27" s="167">
        <v>56.61</v>
      </c>
      <c r="K27" s="167">
        <v>55.62</v>
      </c>
      <c r="L27" s="107">
        <f t="shared" si="4"/>
        <v>977.99999999999989</v>
      </c>
      <c r="M27" s="107">
        <f t="shared" si="1"/>
        <v>-64.17</v>
      </c>
      <c r="N27" s="107">
        <f t="shared" si="2"/>
        <v>932.49999999999989</v>
      </c>
      <c r="O27" s="108">
        <f t="shared" si="5"/>
        <v>868.32999999999993</v>
      </c>
      <c r="P27" s="108">
        <f t="shared" si="6"/>
        <v>109.66999999999996</v>
      </c>
      <c r="Q27" s="108">
        <f t="shared" si="3"/>
        <v>932.49999999999989</v>
      </c>
      <c r="R27" s="108">
        <f t="shared" si="7"/>
        <v>868.32999999999993</v>
      </c>
      <c r="S27" s="108">
        <f t="shared" si="8"/>
        <v>0</v>
      </c>
      <c r="T27" s="108">
        <f t="shared" si="9"/>
        <v>386.5</v>
      </c>
      <c r="U27" s="175">
        <f t="shared" si="10"/>
        <v>481.82999999999993</v>
      </c>
    </row>
    <row r="28" spans="1:21" ht="13.5" customHeight="1">
      <c r="A28" s="109" t="s">
        <v>285</v>
      </c>
      <c r="B28" s="110">
        <v>60</v>
      </c>
      <c r="C28" s="110">
        <v>2</v>
      </c>
      <c r="D28" s="110">
        <v>120</v>
      </c>
      <c r="E28" s="164">
        <v>15.39</v>
      </c>
      <c r="F28" s="168">
        <v>-76.996099999999998</v>
      </c>
      <c r="G28" s="166">
        <v>14.45</v>
      </c>
      <c r="H28" s="166">
        <v>14.45</v>
      </c>
      <c r="I28" s="166">
        <v>6.1</v>
      </c>
      <c r="J28" s="167">
        <v>40.44</v>
      </c>
      <c r="K28" s="167">
        <v>39.94</v>
      </c>
      <c r="L28" s="107">
        <f t="shared" si="4"/>
        <v>1846.8000000000002</v>
      </c>
      <c r="M28" s="107">
        <f t="shared" si="1"/>
        <v>-153.9922</v>
      </c>
      <c r="N28" s="107">
        <f t="shared" si="2"/>
        <v>1734</v>
      </c>
      <c r="O28" s="108">
        <f t="shared" si="5"/>
        <v>1580.0078000000001</v>
      </c>
      <c r="P28" s="108">
        <f t="shared" si="6"/>
        <v>266.79220000000009</v>
      </c>
      <c r="Q28" s="108">
        <f t="shared" si="3"/>
        <v>1734</v>
      </c>
      <c r="R28" s="108">
        <f t="shared" si="7"/>
        <v>1580.0078000000001</v>
      </c>
      <c r="S28" s="108">
        <f t="shared" si="8"/>
        <v>0</v>
      </c>
      <c r="T28" s="108">
        <f t="shared" si="9"/>
        <v>732</v>
      </c>
      <c r="U28" s="175">
        <f t="shared" si="10"/>
        <v>848.00780000000009</v>
      </c>
    </row>
    <row r="29" spans="1:21" ht="13.5" customHeight="1">
      <c r="A29" s="109" t="s">
        <v>286</v>
      </c>
      <c r="B29" s="110">
        <v>126.4</v>
      </c>
      <c r="C29" s="110">
        <v>1</v>
      </c>
      <c r="D29" s="110">
        <v>126.4</v>
      </c>
      <c r="E29" s="164">
        <v>13.3</v>
      </c>
      <c r="F29" s="168">
        <v>-162.04</v>
      </c>
      <c r="G29" s="166">
        <v>10.72</v>
      </c>
      <c r="H29" s="166">
        <v>10.72</v>
      </c>
      <c r="I29" s="166">
        <v>4.74</v>
      </c>
      <c r="J29" s="167">
        <v>49.71</v>
      </c>
      <c r="K29" s="167">
        <v>46.47</v>
      </c>
      <c r="L29" s="107">
        <f t="shared" si="4"/>
        <v>1681.1200000000001</v>
      </c>
      <c r="M29" s="107">
        <f t="shared" si="1"/>
        <v>-162.04</v>
      </c>
      <c r="N29" s="107">
        <f t="shared" si="2"/>
        <v>1355.008</v>
      </c>
      <c r="O29" s="108">
        <f t="shared" si="5"/>
        <v>1192.9680000000001</v>
      </c>
      <c r="P29" s="108">
        <f t="shared" si="6"/>
        <v>488.15200000000004</v>
      </c>
      <c r="Q29" s="108">
        <f t="shared" si="3"/>
        <v>1355.008</v>
      </c>
      <c r="R29" s="108">
        <f t="shared" si="7"/>
        <v>1192.9680000000001</v>
      </c>
      <c r="S29" s="108">
        <f t="shared" si="8"/>
        <v>0</v>
      </c>
      <c r="T29" s="108">
        <f t="shared" si="9"/>
        <v>599.13600000000008</v>
      </c>
      <c r="U29" s="175">
        <f t="shared" si="10"/>
        <v>593.83199999999999</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t="s">
        <v>265</v>
      </c>
      <c r="B31" s="110">
        <v>61</v>
      </c>
      <c r="C31" s="110">
        <v>1</v>
      </c>
      <c r="D31" s="110">
        <v>61</v>
      </c>
      <c r="E31" s="164">
        <v>17.36</v>
      </c>
      <c r="F31" s="168">
        <v>-65.27</v>
      </c>
      <c r="G31" s="166">
        <v>15.91</v>
      </c>
      <c r="H31" s="166">
        <v>15.91</v>
      </c>
      <c r="I31" s="166">
        <v>3.56</v>
      </c>
      <c r="J31" s="167">
        <v>46.93</v>
      </c>
      <c r="K31" s="167">
        <v>42.99</v>
      </c>
      <c r="L31" s="107">
        <f t="shared" si="4"/>
        <v>1058.96</v>
      </c>
      <c r="M31" s="107">
        <f t="shared" si="1"/>
        <v>-65.27</v>
      </c>
      <c r="N31" s="107">
        <f t="shared" si="2"/>
        <v>970.51</v>
      </c>
      <c r="O31" s="108">
        <f t="shared" si="5"/>
        <v>905.24</v>
      </c>
      <c r="P31" s="108">
        <f t="shared" si="6"/>
        <v>153.72000000000003</v>
      </c>
      <c r="Q31" s="108">
        <f t="shared" si="3"/>
        <v>970.51</v>
      </c>
      <c r="R31" s="108">
        <f t="shared" si="7"/>
        <v>905.24</v>
      </c>
      <c r="S31" s="108">
        <f t="shared" si="8"/>
        <v>0</v>
      </c>
      <c r="T31" s="108">
        <f t="shared" si="9"/>
        <v>217.16</v>
      </c>
      <c r="U31" s="175">
        <f t="shared" si="10"/>
        <v>688.08</v>
      </c>
    </row>
    <row r="32" spans="1:21" ht="13.5" customHeight="1">
      <c r="A32" s="109" t="s">
        <v>266</v>
      </c>
      <c r="B32" s="110">
        <v>52</v>
      </c>
      <c r="C32" s="110">
        <v>1</v>
      </c>
      <c r="D32" s="110">
        <v>52</v>
      </c>
      <c r="E32" s="164">
        <v>18.32</v>
      </c>
      <c r="F32" s="168">
        <v>-66.739999999999995</v>
      </c>
      <c r="G32" s="166">
        <v>16.86</v>
      </c>
      <c r="H32" s="166">
        <v>16.86</v>
      </c>
      <c r="I32" s="166">
        <v>3.72</v>
      </c>
      <c r="J32" s="167">
        <v>47.18</v>
      </c>
      <c r="K32" s="167">
        <v>42.84</v>
      </c>
      <c r="L32" s="107">
        <f t="shared" si="4"/>
        <v>952.64</v>
      </c>
      <c r="M32" s="107">
        <f t="shared" si="1"/>
        <v>-66.739999999999995</v>
      </c>
      <c r="N32" s="107">
        <f t="shared" si="2"/>
        <v>876.72</v>
      </c>
      <c r="O32" s="108">
        <f t="shared" si="5"/>
        <v>809.98</v>
      </c>
      <c r="P32" s="108">
        <f t="shared" si="6"/>
        <v>142.65999999999997</v>
      </c>
      <c r="Q32" s="108">
        <f t="shared" si="3"/>
        <v>876.72</v>
      </c>
      <c r="R32" s="108">
        <f t="shared" si="7"/>
        <v>809.98</v>
      </c>
      <c r="S32" s="108">
        <f t="shared" si="8"/>
        <v>0</v>
      </c>
      <c r="T32" s="108">
        <f t="shared" si="9"/>
        <v>193.44</v>
      </c>
      <c r="U32" s="175">
        <f t="shared" si="10"/>
        <v>616.54</v>
      </c>
    </row>
    <row r="33" spans="1:21" ht="13.5" customHeight="1">
      <c r="A33" s="109" t="s">
        <v>287</v>
      </c>
      <c r="B33" s="110">
        <v>73</v>
      </c>
      <c r="C33" s="110">
        <v>1</v>
      </c>
      <c r="D33" s="110">
        <v>73</v>
      </c>
      <c r="E33" s="164">
        <v>15.98</v>
      </c>
      <c r="F33" s="168">
        <v>-78.099999999999994</v>
      </c>
      <c r="G33" s="166">
        <v>14.41</v>
      </c>
      <c r="H33" s="166">
        <v>14.41</v>
      </c>
      <c r="I33" s="166">
        <v>3.33</v>
      </c>
      <c r="J33" s="167">
        <v>44.5</v>
      </c>
      <c r="K33" s="167">
        <v>40.700000000000003</v>
      </c>
      <c r="L33" s="107">
        <f t="shared" si="4"/>
        <v>1166.54</v>
      </c>
      <c r="M33" s="107">
        <f t="shared" si="1"/>
        <v>-78.099999999999994</v>
      </c>
      <c r="N33" s="107">
        <f t="shared" si="2"/>
        <v>1051.93</v>
      </c>
      <c r="O33" s="108">
        <f t="shared" si="5"/>
        <v>973.83</v>
      </c>
      <c r="P33" s="108">
        <f t="shared" si="6"/>
        <v>192.70999999999992</v>
      </c>
      <c r="Q33" s="108">
        <f t="shared" si="3"/>
        <v>1051.93</v>
      </c>
      <c r="R33" s="108">
        <f t="shared" si="7"/>
        <v>973.83</v>
      </c>
      <c r="S33" s="108">
        <f t="shared" si="8"/>
        <v>0</v>
      </c>
      <c r="T33" s="108">
        <f t="shared" si="9"/>
        <v>243.09</v>
      </c>
      <c r="U33" s="175">
        <f t="shared" si="10"/>
        <v>730.74</v>
      </c>
    </row>
    <row r="34" spans="1:21" ht="13.5" customHeight="1">
      <c r="A34" s="109" t="s">
        <v>288</v>
      </c>
      <c r="B34" s="110">
        <v>61</v>
      </c>
      <c r="C34" s="110">
        <v>2</v>
      </c>
      <c r="D34" s="110">
        <v>122</v>
      </c>
      <c r="E34" s="164">
        <v>13.79</v>
      </c>
      <c r="F34" s="168">
        <v>-78.28</v>
      </c>
      <c r="G34" s="166">
        <v>13.75</v>
      </c>
      <c r="H34" s="166">
        <v>13.75</v>
      </c>
      <c r="I34" s="166">
        <v>3.07</v>
      </c>
      <c r="J34" s="167">
        <v>32.590000000000003</v>
      </c>
      <c r="K34" s="167">
        <v>33.409999999999997</v>
      </c>
      <c r="L34" s="107">
        <f t="shared" si="4"/>
        <v>1682.3799999999999</v>
      </c>
      <c r="M34" s="107">
        <f t="shared" si="1"/>
        <v>-156.56</v>
      </c>
      <c r="N34" s="107">
        <f t="shared" si="2"/>
        <v>1677.5</v>
      </c>
      <c r="O34" s="108">
        <f t="shared" si="5"/>
        <v>1520.94</v>
      </c>
      <c r="P34" s="108">
        <f t="shared" si="6"/>
        <v>161.43999999999983</v>
      </c>
      <c r="Q34" s="108">
        <f t="shared" si="3"/>
        <v>1677.5</v>
      </c>
      <c r="R34" s="108">
        <f t="shared" si="7"/>
        <v>1520.94</v>
      </c>
      <c r="S34" s="108">
        <f t="shared" si="8"/>
        <v>0</v>
      </c>
      <c r="T34" s="108">
        <f t="shared" si="9"/>
        <v>374.53999999999996</v>
      </c>
      <c r="U34" s="175">
        <f t="shared" si="10"/>
        <v>1146.4000000000001</v>
      </c>
    </row>
    <row r="35" spans="1:21" ht="13.5" customHeight="1">
      <c r="A35" s="109" t="s">
        <v>271</v>
      </c>
      <c r="B35" s="110">
        <v>52</v>
      </c>
      <c r="C35" s="110">
        <v>1</v>
      </c>
      <c r="D35" s="110">
        <v>52</v>
      </c>
      <c r="E35" s="164">
        <v>14.85</v>
      </c>
      <c r="F35" s="168">
        <v>-66.739999999999995</v>
      </c>
      <c r="G35" s="166">
        <v>14.37</v>
      </c>
      <c r="H35" s="166">
        <v>14.37</v>
      </c>
      <c r="I35" s="166">
        <v>3.2</v>
      </c>
      <c r="J35" s="167">
        <v>31.43</v>
      </c>
      <c r="K35" s="167">
        <v>31.94</v>
      </c>
      <c r="L35" s="107">
        <f t="shared" si="4"/>
        <v>772.19999999999993</v>
      </c>
      <c r="M35" s="107">
        <f t="shared" si="1"/>
        <v>-66.739999999999995</v>
      </c>
      <c r="N35" s="107">
        <f t="shared" si="2"/>
        <v>747.24</v>
      </c>
      <c r="O35" s="108">
        <f t="shared" si="5"/>
        <v>680.5</v>
      </c>
      <c r="P35" s="108">
        <f t="shared" si="6"/>
        <v>91.699999999999932</v>
      </c>
      <c r="Q35" s="108">
        <f t="shared" si="3"/>
        <v>747.24</v>
      </c>
      <c r="R35" s="108">
        <f t="shared" si="7"/>
        <v>680.5</v>
      </c>
      <c r="S35" s="108">
        <f t="shared" si="8"/>
        <v>0</v>
      </c>
      <c r="T35" s="108">
        <f t="shared" si="9"/>
        <v>166.4</v>
      </c>
      <c r="U35" s="175">
        <f t="shared" si="10"/>
        <v>514.1</v>
      </c>
    </row>
    <row r="36" spans="1:21" ht="13.5" customHeight="1">
      <c r="A36" s="109" t="s">
        <v>289</v>
      </c>
      <c r="B36" s="110">
        <v>74</v>
      </c>
      <c r="C36" s="110">
        <v>2</v>
      </c>
      <c r="D36" s="110">
        <v>148</v>
      </c>
      <c r="E36" s="164">
        <v>12.5</v>
      </c>
      <c r="F36" s="168">
        <v>-94.94</v>
      </c>
      <c r="G36" s="166">
        <v>11.86</v>
      </c>
      <c r="H36" s="166">
        <v>11.86</v>
      </c>
      <c r="I36" s="166">
        <v>2.83</v>
      </c>
      <c r="J36" s="167">
        <v>29.79</v>
      </c>
      <c r="K36" s="167">
        <v>29.56</v>
      </c>
      <c r="L36" s="107">
        <f t="shared" si="4"/>
        <v>1850</v>
      </c>
      <c r="M36" s="107">
        <f t="shared" si="1"/>
        <v>-189.88</v>
      </c>
      <c r="N36" s="107">
        <f t="shared" si="2"/>
        <v>1755.28</v>
      </c>
      <c r="O36" s="108">
        <f t="shared" si="5"/>
        <v>1565.4</v>
      </c>
      <c r="P36" s="108">
        <f t="shared" si="6"/>
        <v>284.59999999999991</v>
      </c>
      <c r="Q36" s="108">
        <f t="shared" si="3"/>
        <v>1755.28</v>
      </c>
      <c r="R36" s="108">
        <f t="shared" si="7"/>
        <v>1565.4</v>
      </c>
      <c r="S36" s="108">
        <f t="shared" si="8"/>
        <v>0</v>
      </c>
      <c r="T36" s="108">
        <f t="shared" si="9"/>
        <v>418.84000000000003</v>
      </c>
      <c r="U36" s="175">
        <f t="shared" si="10"/>
        <v>1146.56</v>
      </c>
    </row>
    <row r="37" spans="1:21" ht="13.5" customHeight="1">
      <c r="A37" s="109" t="s">
        <v>276</v>
      </c>
      <c r="B37" s="110">
        <v>52</v>
      </c>
      <c r="C37" s="110">
        <v>1</v>
      </c>
      <c r="D37" s="110">
        <v>52</v>
      </c>
      <c r="E37" s="164">
        <v>15.99</v>
      </c>
      <c r="F37" s="168">
        <v>-66.739999999999995</v>
      </c>
      <c r="G37" s="166">
        <v>15.48</v>
      </c>
      <c r="H37" s="166">
        <v>15.48</v>
      </c>
      <c r="I37" s="166">
        <v>3.41</v>
      </c>
      <c r="J37" s="167">
        <v>36.619999999999997</v>
      </c>
      <c r="K37" s="167">
        <v>37.03</v>
      </c>
      <c r="L37" s="107">
        <f t="shared" si="4"/>
        <v>831.48</v>
      </c>
      <c r="M37" s="107">
        <f t="shared" si="1"/>
        <v>-66.739999999999995</v>
      </c>
      <c r="N37" s="107">
        <f t="shared" si="2"/>
        <v>804.96</v>
      </c>
      <c r="O37" s="108">
        <f t="shared" si="5"/>
        <v>738.22</v>
      </c>
      <c r="P37" s="108">
        <f t="shared" si="6"/>
        <v>93.259999999999991</v>
      </c>
      <c r="Q37" s="108">
        <f t="shared" si="3"/>
        <v>804.96</v>
      </c>
      <c r="R37" s="108">
        <f t="shared" si="7"/>
        <v>738.22</v>
      </c>
      <c r="S37" s="108">
        <f t="shared" si="8"/>
        <v>0</v>
      </c>
      <c r="T37" s="108">
        <f t="shared" si="9"/>
        <v>177.32</v>
      </c>
      <c r="U37" s="175">
        <f t="shared" si="10"/>
        <v>560.90000000000009</v>
      </c>
    </row>
    <row r="38" spans="1:21" ht="13.5" customHeight="1">
      <c r="A38" s="109" t="s">
        <v>280</v>
      </c>
      <c r="B38" s="110">
        <v>138</v>
      </c>
      <c r="C38" s="110">
        <v>1</v>
      </c>
      <c r="D38" s="110">
        <v>138</v>
      </c>
      <c r="E38" s="164">
        <v>12.74</v>
      </c>
      <c r="F38" s="168">
        <v>-176.88</v>
      </c>
      <c r="G38" s="166">
        <v>11.59</v>
      </c>
      <c r="H38" s="166">
        <v>11.59</v>
      </c>
      <c r="I38" s="166">
        <v>2.74</v>
      </c>
      <c r="J38" s="167">
        <v>46.87</v>
      </c>
      <c r="K38" s="167">
        <v>43.75</v>
      </c>
      <c r="L38" s="107">
        <f t="shared" si="4"/>
        <v>1758.1200000000001</v>
      </c>
      <c r="M38" s="107">
        <f t="shared" si="1"/>
        <v>-176.88</v>
      </c>
      <c r="N38" s="107">
        <f t="shared" si="2"/>
        <v>1599.42</v>
      </c>
      <c r="O38" s="108">
        <f t="shared" si="5"/>
        <v>1422.54</v>
      </c>
      <c r="P38" s="108">
        <f t="shared" si="6"/>
        <v>335.58000000000015</v>
      </c>
      <c r="Q38" s="108">
        <f t="shared" si="3"/>
        <v>1599.42</v>
      </c>
      <c r="R38" s="108">
        <f t="shared" si="7"/>
        <v>1422.54</v>
      </c>
      <c r="S38" s="108">
        <f t="shared" si="8"/>
        <v>0</v>
      </c>
      <c r="T38" s="108">
        <f t="shared" si="9"/>
        <v>378.12</v>
      </c>
      <c r="U38" s="175">
        <f t="shared" si="10"/>
        <v>1044.42</v>
      </c>
    </row>
    <row r="39" spans="1:21" ht="13.5" customHeight="1">
      <c r="A39" s="109" t="s">
        <v>281</v>
      </c>
      <c r="B39" s="110">
        <v>52</v>
      </c>
      <c r="C39" s="110">
        <v>1</v>
      </c>
      <c r="D39" s="110">
        <v>52</v>
      </c>
      <c r="E39" s="164">
        <v>18.41</v>
      </c>
      <c r="F39" s="168">
        <v>-66.739999999999995</v>
      </c>
      <c r="G39" s="166">
        <v>18.41</v>
      </c>
      <c r="H39" s="166">
        <v>18.41</v>
      </c>
      <c r="I39" s="166">
        <v>3.99</v>
      </c>
      <c r="J39" s="167">
        <v>47.56</v>
      </c>
      <c r="K39" s="167">
        <v>49.46</v>
      </c>
      <c r="L39" s="107">
        <f t="shared" si="4"/>
        <v>957.32</v>
      </c>
      <c r="M39" s="107">
        <f t="shared" si="1"/>
        <v>-66.739999999999995</v>
      </c>
      <c r="N39" s="107">
        <f t="shared" si="2"/>
        <v>957.32</v>
      </c>
      <c r="O39" s="108">
        <f t="shared" si="5"/>
        <v>890.58</v>
      </c>
      <c r="P39" s="108">
        <f t="shared" si="6"/>
        <v>66.740000000000009</v>
      </c>
      <c r="Q39" s="108">
        <f t="shared" si="3"/>
        <v>957.32</v>
      </c>
      <c r="R39" s="108">
        <f t="shared" si="7"/>
        <v>890.58</v>
      </c>
      <c r="S39" s="108">
        <f t="shared" si="8"/>
        <v>0</v>
      </c>
      <c r="T39" s="108">
        <f t="shared" si="9"/>
        <v>207.48000000000002</v>
      </c>
      <c r="U39" s="175">
        <f t="shared" si="10"/>
        <v>683.1</v>
      </c>
    </row>
    <row r="40" spans="1:21" ht="13.5" customHeight="1">
      <c r="A40" s="109" t="s">
        <v>282</v>
      </c>
      <c r="B40" s="110">
        <v>72</v>
      </c>
      <c r="C40" s="110">
        <v>1</v>
      </c>
      <c r="D40" s="110">
        <v>72</v>
      </c>
      <c r="E40" s="164">
        <v>15.83</v>
      </c>
      <c r="F40" s="168">
        <v>-92.38</v>
      </c>
      <c r="G40" s="166">
        <v>15.32</v>
      </c>
      <c r="H40" s="166">
        <v>15.32</v>
      </c>
      <c r="I40" s="166">
        <v>3.48</v>
      </c>
      <c r="J40" s="167">
        <v>44.41</v>
      </c>
      <c r="K40" s="167">
        <v>44.07</v>
      </c>
      <c r="L40" s="107">
        <f t="shared" si="4"/>
        <v>1139.76</v>
      </c>
      <c r="M40" s="107">
        <f t="shared" si="1"/>
        <v>-92.38</v>
      </c>
      <c r="N40" s="107">
        <f t="shared" si="2"/>
        <v>1103.04</v>
      </c>
      <c r="O40" s="108">
        <f t="shared" si="5"/>
        <v>1010.66</v>
      </c>
      <c r="P40" s="108">
        <f t="shared" si="6"/>
        <v>129.10000000000002</v>
      </c>
      <c r="Q40" s="108">
        <f t="shared" si="3"/>
        <v>1103.04</v>
      </c>
      <c r="R40" s="108">
        <f t="shared" si="7"/>
        <v>1010.66</v>
      </c>
      <c r="S40" s="108">
        <f t="shared" si="8"/>
        <v>0</v>
      </c>
      <c r="T40" s="108">
        <f t="shared" si="9"/>
        <v>250.56</v>
      </c>
      <c r="U40" s="175">
        <f t="shared" si="10"/>
        <v>760.09999999999991</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t="s">
        <v>290</v>
      </c>
      <c r="B42" s="110">
        <v>52</v>
      </c>
      <c r="C42" s="110">
        <v>1</v>
      </c>
      <c r="D42" s="110">
        <v>52</v>
      </c>
      <c r="E42" s="164">
        <v>33.770000000000003</v>
      </c>
      <c r="F42" s="168">
        <v>-9.9999999999999995E-8</v>
      </c>
      <c r="G42" s="166">
        <v>29.77</v>
      </c>
      <c r="H42" s="166">
        <v>29.77</v>
      </c>
      <c r="I42" s="166">
        <v>6</v>
      </c>
      <c r="J42" s="167">
        <v>95.24</v>
      </c>
      <c r="K42" s="167">
        <v>86.4</v>
      </c>
      <c r="L42" s="107">
        <f t="shared" si="4"/>
        <v>1756.0400000000002</v>
      </c>
      <c r="M42" s="107">
        <f t="shared" si="1"/>
        <v>-1.0000000000000001E-7</v>
      </c>
      <c r="N42" s="107">
        <f t="shared" si="2"/>
        <v>1548.04</v>
      </c>
      <c r="O42" s="108">
        <f t="shared" si="5"/>
        <v>1548.0399998999999</v>
      </c>
      <c r="P42" s="108">
        <f t="shared" si="6"/>
        <v>208.00000010000031</v>
      </c>
      <c r="Q42" s="108">
        <f t="shared" si="3"/>
        <v>1548.04</v>
      </c>
      <c r="R42" s="108">
        <f t="shared" si="7"/>
        <v>1548.0399998999999</v>
      </c>
      <c r="S42" s="108">
        <f t="shared" si="8"/>
        <v>0</v>
      </c>
      <c r="T42" s="108">
        <f t="shared" si="9"/>
        <v>312</v>
      </c>
      <c r="U42" s="175">
        <f t="shared" si="10"/>
        <v>1236.0399998999999</v>
      </c>
    </row>
    <row r="43" spans="1:21" ht="13.5" customHeight="1">
      <c r="A43" s="109" t="s">
        <v>291</v>
      </c>
      <c r="B43" s="110">
        <v>52</v>
      </c>
      <c r="C43" s="110">
        <v>1</v>
      </c>
      <c r="D43" s="110">
        <v>52</v>
      </c>
      <c r="E43" s="164">
        <v>25.62</v>
      </c>
      <c r="F43" s="168">
        <v>-9.9999999999999995E-8</v>
      </c>
      <c r="G43" s="166">
        <v>21.75</v>
      </c>
      <c r="H43" s="166">
        <v>21.75</v>
      </c>
      <c r="I43" s="166">
        <v>4.57</v>
      </c>
      <c r="J43" s="167">
        <v>63.73</v>
      </c>
      <c r="K43" s="167">
        <v>55.03</v>
      </c>
      <c r="L43" s="107">
        <f t="shared" si="4"/>
        <v>1332.24</v>
      </c>
      <c r="M43" s="107">
        <f t="shared" si="1"/>
        <v>-1.0000000000000001E-7</v>
      </c>
      <c r="N43" s="107">
        <f t="shared" si="2"/>
        <v>1131</v>
      </c>
      <c r="O43" s="108">
        <f t="shared" si="5"/>
        <v>1130.9999998999999</v>
      </c>
      <c r="P43" s="108">
        <f t="shared" si="6"/>
        <v>201.24000010000009</v>
      </c>
      <c r="Q43" s="108">
        <f t="shared" si="3"/>
        <v>1131</v>
      </c>
      <c r="R43" s="108">
        <f t="shared" si="7"/>
        <v>1130.9999998999999</v>
      </c>
      <c r="S43" s="108">
        <f t="shared" si="8"/>
        <v>0</v>
      </c>
      <c r="T43" s="108">
        <f t="shared" si="9"/>
        <v>237.64000000000001</v>
      </c>
      <c r="U43" s="175">
        <f t="shared" si="10"/>
        <v>893.35999989999993</v>
      </c>
    </row>
    <row r="44" spans="1:21" ht="13.5" customHeight="1">
      <c r="A44" s="109" t="s">
        <v>292</v>
      </c>
      <c r="B44" s="110">
        <v>52</v>
      </c>
      <c r="C44" s="110">
        <v>1</v>
      </c>
      <c r="D44" s="110">
        <v>52</v>
      </c>
      <c r="E44" s="164">
        <v>28.54</v>
      </c>
      <c r="F44" s="168">
        <v>-9.9999999999999995E-8</v>
      </c>
      <c r="G44" s="166">
        <v>25.03</v>
      </c>
      <c r="H44" s="166">
        <v>25.03</v>
      </c>
      <c r="I44" s="166">
        <v>5.07</v>
      </c>
      <c r="J44" s="167">
        <v>75.209999999999994</v>
      </c>
      <c r="K44" s="167">
        <v>67.459999999999994</v>
      </c>
      <c r="L44" s="107">
        <f t="shared" si="4"/>
        <v>1484.08</v>
      </c>
      <c r="M44" s="107">
        <f t="shared" si="1"/>
        <v>-1.0000000000000001E-7</v>
      </c>
      <c r="N44" s="107">
        <f t="shared" si="2"/>
        <v>1301.56</v>
      </c>
      <c r="O44" s="108">
        <f t="shared" si="5"/>
        <v>1301.5599998999999</v>
      </c>
      <c r="P44" s="108">
        <f t="shared" si="6"/>
        <v>182.52000010000006</v>
      </c>
      <c r="Q44" s="108">
        <f t="shared" si="3"/>
        <v>1301.56</v>
      </c>
      <c r="R44" s="108">
        <f t="shared" si="7"/>
        <v>1301.5599998999999</v>
      </c>
      <c r="S44" s="108">
        <f t="shared" si="8"/>
        <v>0</v>
      </c>
      <c r="T44" s="108">
        <f t="shared" si="9"/>
        <v>263.64</v>
      </c>
      <c r="U44" s="175">
        <f t="shared" si="10"/>
        <v>1037.9199998999998</v>
      </c>
    </row>
    <row r="45" spans="1:21" ht="13.5" customHeight="1">
      <c r="A45" s="109" t="s">
        <v>293</v>
      </c>
      <c r="B45" s="110">
        <v>53</v>
      </c>
      <c r="C45" s="110">
        <v>1</v>
      </c>
      <c r="D45" s="110">
        <v>53</v>
      </c>
      <c r="E45" s="164">
        <v>34.42</v>
      </c>
      <c r="F45" s="168">
        <v>-9.9999999999999995E-8</v>
      </c>
      <c r="G45" s="166">
        <v>27.98</v>
      </c>
      <c r="H45" s="166">
        <v>27.98</v>
      </c>
      <c r="I45" s="166">
        <v>5.69</v>
      </c>
      <c r="J45" s="167">
        <v>98.24</v>
      </c>
      <c r="K45" s="167">
        <v>79.290000000000006</v>
      </c>
      <c r="L45" s="107">
        <f t="shared" si="4"/>
        <v>1824.26</v>
      </c>
      <c r="M45" s="107">
        <f t="shared" si="1"/>
        <v>-1.0000000000000001E-7</v>
      </c>
      <c r="N45" s="107">
        <f t="shared" si="2"/>
        <v>1482.94</v>
      </c>
      <c r="O45" s="108">
        <f t="shared" si="5"/>
        <v>1482.9399999</v>
      </c>
      <c r="P45" s="108">
        <f t="shared" si="6"/>
        <v>341.32000010000002</v>
      </c>
      <c r="Q45" s="108">
        <f t="shared" si="3"/>
        <v>1482.94</v>
      </c>
      <c r="R45" s="108">
        <f t="shared" si="7"/>
        <v>1482.9399999</v>
      </c>
      <c r="S45" s="108">
        <f t="shared" si="8"/>
        <v>0</v>
      </c>
      <c r="T45" s="108">
        <f t="shared" si="9"/>
        <v>301.57</v>
      </c>
      <c r="U45" s="175">
        <f t="shared" si="10"/>
        <v>1181.3699999</v>
      </c>
    </row>
    <row r="46" spans="1:21" ht="13.5" customHeight="1">
      <c r="A46" s="109" t="s">
        <v>294</v>
      </c>
      <c r="B46" s="110">
        <v>53</v>
      </c>
      <c r="C46" s="110">
        <v>1</v>
      </c>
      <c r="D46" s="110">
        <v>53</v>
      </c>
      <c r="E46" s="164">
        <v>26.6</v>
      </c>
      <c r="F46" s="168">
        <v>-9.9999999999999995E-8</v>
      </c>
      <c r="G46" s="166">
        <v>21.89</v>
      </c>
      <c r="H46" s="166">
        <v>21.89</v>
      </c>
      <c r="I46" s="166">
        <v>4.5199999999999996</v>
      </c>
      <c r="J46" s="167">
        <v>67.8</v>
      </c>
      <c r="K46" s="167">
        <v>55.54</v>
      </c>
      <c r="L46" s="107">
        <f t="shared" si="4"/>
        <v>1409.8000000000002</v>
      </c>
      <c r="M46" s="107">
        <f t="shared" si="1"/>
        <v>-1.0000000000000001E-7</v>
      </c>
      <c r="N46" s="107">
        <f t="shared" si="2"/>
        <v>1160.17</v>
      </c>
      <c r="O46" s="108">
        <f t="shared" si="5"/>
        <v>1160.1699999</v>
      </c>
      <c r="P46" s="108">
        <f t="shared" si="6"/>
        <v>249.63000010000019</v>
      </c>
      <c r="Q46" s="108">
        <f t="shared" si="3"/>
        <v>1160.17</v>
      </c>
      <c r="R46" s="108">
        <f t="shared" si="7"/>
        <v>1160.1699999</v>
      </c>
      <c r="S46" s="108">
        <f t="shared" si="8"/>
        <v>0</v>
      </c>
      <c r="T46" s="108">
        <f t="shared" si="9"/>
        <v>239.55999999999997</v>
      </c>
      <c r="U46" s="175">
        <f t="shared" si="10"/>
        <v>920.60999990000005</v>
      </c>
    </row>
    <row r="47" spans="1:21" ht="13.5" customHeight="1">
      <c r="A47" s="109" t="s">
        <v>295</v>
      </c>
      <c r="B47" s="110">
        <v>53</v>
      </c>
      <c r="C47" s="110">
        <v>1</v>
      </c>
      <c r="D47" s="110">
        <v>53</v>
      </c>
      <c r="E47" s="164">
        <v>29.91</v>
      </c>
      <c r="F47" s="168">
        <v>-9.9999999999999995E-8</v>
      </c>
      <c r="G47" s="166">
        <v>24.95</v>
      </c>
      <c r="H47" s="166">
        <v>24.95</v>
      </c>
      <c r="I47" s="166">
        <v>5.03</v>
      </c>
      <c r="J47" s="167">
        <v>80.709999999999994</v>
      </c>
      <c r="K47" s="167">
        <v>67.290000000000006</v>
      </c>
      <c r="L47" s="107">
        <f t="shared" si="4"/>
        <v>1585.23</v>
      </c>
      <c r="M47" s="107">
        <f t="shared" si="1"/>
        <v>-1.0000000000000001E-7</v>
      </c>
      <c r="N47" s="107">
        <f t="shared" si="2"/>
        <v>1322.35</v>
      </c>
      <c r="O47" s="108">
        <f t="shared" si="5"/>
        <v>1322.3499998999998</v>
      </c>
      <c r="P47" s="108">
        <f t="shared" si="6"/>
        <v>262.88000010000019</v>
      </c>
      <c r="Q47" s="108">
        <f t="shared" si="3"/>
        <v>1322.35</v>
      </c>
      <c r="R47" s="108">
        <f t="shared" si="7"/>
        <v>1322.3499998999998</v>
      </c>
      <c r="S47" s="108">
        <f t="shared" si="8"/>
        <v>0</v>
      </c>
      <c r="T47" s="108">
        <f t="shared" si="9"/>
        <v>266.59000000000003</v>
      </c>
      <c r="U47" s="175">
        <f t="shared" si="10"/>
        <v>1055.7599998999999</v>
      </c>
    </row>
    <row r="48" spans="1:21" ht="13.5" customHeight="1">
      <c r="A48" s="109" t="s">
        <v>296</v>
      </c>
      <c r="B48" s="110">
        <v>151.15</v>
      </c>
      <c r="C48" s="110">
        <v>1</v>
      </c>
      <c r="D48" s="110">
        <v>151.5</v>
      </c>
      <c r="E48" s="164">
        <v>29.41</v>
      </c>
      <c r="F48" s="168">
        <v>-9.9999999999999995E-8</v>
      </c>
      <c r="G48" s="166">
        <v>26.55</v>
      </c>
      <c r="H48" s="166">
        <v>26.55</v>
      </c>
      <c r="I48" s="166">
        <v>5.19</v>
      </c>
      <c r="J48" s="167">
        <v>98.63</v>
      </c>
      <c r="K48" s="167">
        <v>91.99</v>
      </c>
      <c r="L48" s="107">
        <f t="shared" si="4"/>
        <v>4455.6149999999998</v>
      </c>
      <c r="M48" s="107">
        <f t="shared" si="1"/>
        <v>-1.0023155805491233E-7</v>
      </c>
      <c r="N48" s="107">
        <f t="shared" si="2"/>
        <v>4022.3250000000003</v>
      </c>
      <c r="O48" s="108">
        <f t="shared" si="5"/>
        <v>4022.3249998997685</v>
      </c>
      <c r="P48" s="108">
        <f t="shared" si="6"/>
        <v>433.29000010023128</v>
      </c>
      <c r="Q48" s="108">
        <f t="shared" si="3"/>
        <v>4022.3250000000003</v>
      </c>
      <c r="R48" s="108">
        <f t="shared" si="7"/>
        <v>4022.3249998997685</v>
      </c>
      <c r="S48" s="108">
        <f t="shared" si="8"/>
        <v>0</v>
      </c>
      <c r="T48" s="108">
        <f t="shared" si="9"/>
        <v>786.28500000000008</v>
      </c>
      <c r="U48" s="175">
        <f t="shared" si="10"/>
        <v>3236.0399998997682</v>
      </c>
    </row>
    <row r="49" spans="1:21" ht="13.5" customHeight="1">
      <c r="A49" s="109" t="s">
        <v>297</v>
      </c>
      <c r="B49" s="110">
        <v>103.44</v>
      </c>
      <c r="C49" s="110">
        <v>1</v>
      </c>
      <c r="D49" s="110">
        <v>103.4</v>
      </c>
      <c r="E49" s="164">
        <v>26.03</v>
      </c>
      <c r="F49" s="168">
        <v>-9.9999999999999995E-8</v>
      </c>
      <c r="G49" s="166">
        <v>22.54</v>
      </c>
      <c r="H49" s="166">
        <v>22.54</v>
      </c>
      <c r="I49" s="166">
        <v>4.63</v>
      </c>
      <c r="J49" s="167">
        <v>79.08</v>
      </c>
      <c r="K49" s="167">
        <v>70.87</v>
      </c>
      <c r="L49" s="107">
        <f t="shared" si="4"/>
        <v>2691.5020000000004</v>
      </c>
      <c r="M49" s="107">
        <f t="shared" si="1"/>
        <v>-9.9961330239752514E-8</v>
      </c>
      <c r="N49" s="107">
        <f t="shared" si="2"/>
        <v>2330.636</v>
      </c>
      <c r="O49" s="108">
        <f t="shared" si="5"/>
        <v>2330.6359999000388</v>
      </c>
      <c r="P49" s="108">
        <f t="shared" si="6"/>
        <v>360.86600009996164</v>
      </c>
      <c r="Q49" s="108">
        <f t="shared" si="3"/>
        <v>2330.636</v>
      </c>
      <c r="R49" s="108">
        <f t="shared" si="7"/>
        <v>2330.6359999000388</v>
      </c>
      <c r="S49" s="108">
        <f t="shared" si="8"/>
        <v>0</v>
      </c>
      <c r="T49" s="108">
        <f t="shared" si="9"/>
        <v>478.74200000000002</v>
      </c>
      <c r="U49" s="175">
        <f t="shared" si="10"/>
        <v>1851.8939999000388</v>
      </c>
    </row>
    <row r="50" spans="1:21" ht="13.5" customHeight="1">
      <c r="A50" s="109" t="s">
        <v>298</v>
      </c>
      <c r="B50" s="110">
        <v>137.44</v>
      </c>
      <c r="C50" s="110">
        <v>1</v>
      </c>
      <c r="D50" s="110">
        <v>137.44</v>
      </c>
      <c r="E50" s="164">
        <v>23.28</v>
      </c>
      <c r="F50" s="168">
        <v>-9.9999999999999995E-8</v>
      </c>
      <c r="G50" s="166">
        <v>19.8</v>
      </c>
      <c r="H50" s="166">
        <v>19.8</v>
      </c>
      <c r="I50" s="166">
        <v>4.16</v>
      </c>
      <c r="J50" s="167">
        <v>72.62</v>
      </c>
      <c r="K50" s="167">
        <v>64.45</v>
      </c>
      <c r="L50" s="107">
        <f t="shared" si="4"/>
        <v>3199.6032</v>
      </c>
      <c r="M50" s="107">
        <f t="shared" si="1"/>
        <v>-9.9999999999999995E-8</v>
      </c>
      <c r="N50" s="107">
        <f t="shared" si="2"/>
        <v>2721.3119999999999</v>
      </c>
      <c r="O50" s="108">
        <f t="shared" si="5"/>
        <v>2721.3119999</v>
      </c>
      <c r="P50" s="108">
        <f t="shared" si="6"/>
        <v>478.29120009999997</v>
      </c>
      <c r="Q50" s="108">
        <f t="shared" si="3"/>
        <v>2721.3119999999999</v>
      </c>
      <c r="R50" s="108">
        <f t="shared" si="7"/>
        <v>2721.3119999</v>
      </c>
      <c r="S50" s="108">
        <f t="shared" si="8"/>
        <v>0</v>
      </c>
      <c r="T50" s="108">
        <f t="shared" si="9"/>
        <v>571.75040000000001</v>
      </c>
      <c r="U50" s="175">
        <f t="shared" si="10"/>
        <v>2149.5615999000001</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44</v>
      </c>
      <c r="D58" s="7">
        <f>SUM(D7:D57)</f>
        <v>2894.5200000000004</v>
      </c>
      <c r="E58" s="128">
        <f t="shared" ref="E58" si="11">IFERROR(SUMPRODUCT($D$7:$D$57,E7:E57)/$D$58,0)</f>
        <v>18.736113103381562</v>
      </c>
      <c r="F58" s="127">
        <f t="shared" ref="F58" si="12">IFERROR(SUMPRODUCT($D$7:$D$57,F7:F57)/$D$58,0)</f>
        <v>-67.587912528064777</v>
      </c>
      <c r="G58" s="127">
        <f t="shared" ref="G58:I58" si="13">IFERROR(SUMPRODUCT($D$7:$D$57,G7:G57)/$D$58,0)</f>
        <v>16.89689834583972</v>
      </c>
      <c r="H58" s="127">
        <f t="shared" si="13"/>
        <v>16.89689834583972</v>
      </c>
      <c r="I58" s="127">
        <f t="shared" si="13"/>
        <v>3.9796519630197746</v>
      </c>
      <c r="J58" s="127">
        <f>IFERROR(SUMPRODUCT($D$7:$D$57,J7:J57)/$D$58,0)</f>
        <v>51.797582984398097</v>
      </c>
      <c r="K58" s="127">
        <f>IFERROR(SUMPRODUCT($D$7:$D$57,K7:K57)/$D$58,0)</f>
        <v>47.989803974406797</v>
      </c>
      <c r="L58" s="102">
        <f>SUM(L7:L57)</f>
        <v>54232.054100000008</v>
      </c>
      <c r="M58" s="102">
        <f>SUM(M7:M57)</f>
        <v>-2840.7022009001912</v>
      </c>
      <c r="N58" s="102">
        <f t="shared" ref="N58:T58" si="14">SUM(N7:N57)</f>
        <v>48908.410199999991</v>
      </c>
      <c r="O58" s="102">
        <f t="shared" si="14"/>
        <v>46067.70799909981</v>
      </c>
      <c r="P58" s="102">
        <f t="shared" si="14"/>
        <v>8164.3461009001931</v>
      </c>
      <c r="Q58" s="102">
        <f t="shared" si="14"/>
        <v>48908.410199999991</v>
      </c>
      <c r="R58" s="102">
        <f t="shared" si="14"/>
        <v>46067.70799909981</v>
      </c>
      <c r="S58" s="102">
        <f t="shared" si="14"/>
        <v>0</v>
      </c>
      <c r="T58" s="102">
        <f t="shared" si="14"/>
        <v>11519.182199999999</v>
      </c>
      <c r="U58" s="176">
        <f t="shared" ref="U58" si="15">SUM(U7:U57)</f>
        <v>34548.525799099807</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260</v>
      </c>
      <c r="B63" s="110">
        <v>21172.799999999999</v>
      </c>
      <c r="C63" s="110">
        <v>1</v>
      </c>
      <c r="D63" s="110">
        <v>21172.799999999999</v>
      </c>
      <c r="E63" s="164">
        <v>3.21</v>
      </c>
      <c r="F63" s="165">
        <v>0</v>
      </c>
      <c r="G63" s="182">
        <v>2.85</v>
      </c>
      <c r="H63" s="171">
        <v>2.85</v>
      </c>
      <c r="I63" s="171">
        <v>2.5099999999999998</v>
      </c>
      <c r="J63" s="13"/>
      <c r="K63" s="119"/>
      <c r="L63" s="107">
        <f t="shared" ref="L63:L93" si="16">IF($E63=0,"",$E63*$D63)</f>
        <v>67964.687999999995</v>
      </c>
      <c r="M63" s="121">
        <f t="shared" ref="M63:M93" si="17">IF($E63=0,"",F63*D63*Average_notional_PV_CO2_factor)</f>
        <v>0</v>
      </c>
      <c r="N63" s="121">
        <f t="shared" ref="N63:N93" si="18">IF($G63=0,"",$G63*$D63)</f>
        <v>60342.48</v>
      </c>
      <c r="O63" s="107">
        <f>IF($G63=0,"",$N63+$M63)</f>
        <v>60342.48</v>
      </c>
      <c r="P63" s="108">
        <f>IF($G63=0,"",$L63-O63)</f>
        <v>7622.2079999999914</v>
      </c>
      <c r="Q63" s="107">
        <f t="shared" ref="Q63:Q93" si="19">IF($H63=0,"",$H63*$D63)</f>
        <v>60342.48</v>
      </c>
      <c r="R63" s="107">
        <f>IF($H63=0,"",$Q63+$M63)</f>
        <v>60342.48</v>
      </c>
      <c r="S63" s="108">
        <f>IF($H63=0,"",$R63-$O63)</f>
        <v>0</v>
      </c>
      <c r="T63" s="107">
        <f>IF($I63=0,"",$I63*$D63)</f>
        <v>53143.727999999996</v>
      </c>
      <c r="U63" s="178">
        <f>IF($H63=0,"",$R63-$T63)</f>
        <v>7198.7520000000077</v>
      </c>
    </row>
    <row r="64" spans="1:21" ht="13.5" customHeight="1">
      <c r="A64" s="109" t="s">
        <v>261</v>
      </c>
      <c r="B64" s="110">
        <v>582.5</v>
      </c>
      <c r="C64" s="110">
        <v>1</v>
      </c>
      <c r="D64" s="110">
        <v>582.5</v>
      </c>
      <c r="E64" s="164">
        <v>2.92</v>
      </c>
      <c r="F64" s="168">
        <v>0</v>
      </c>
      <c r="G64" s="182">
        <v>2.36</v>
      </c>
      <c r="H64" s="171">
        <v>2.36</v>
      </c>
      <c r="I64" s="171">
        <v>2.19</v>
      </c>
      <c r="J64" s="13"/>
      <c r="K64" s="119"/>
      <c r="L64" s="107">
        <f t="shared" si="16"/>
        <v>1700.8999999999999</v>
      </c>
      <c r="M64" s="121">
        <f t="shared" si="17"/>
        <v>0</v>
      </c>
      <c r="N64" s="121">
        <f t="shared" si="18"/>
        <v>1374.6999999999998</v>
      </c>
      <c r="O64" s="107">
        <f t="shared" ref="O64:O93" si="20">IF($G64=0,"",$N64+$M64)</f>
        <v>1374.6999999999998</v>
      </c>
      <c r="P64" s="108">
        <f t="shared" ref="P64:P93" si="21">IF($G64=0,"",$L64-O64)</f>
        <v>326.20000000000005</v>
      </c>
      <c r="Q64" s="107">
        <f t="shared" si="19"/>
        <v>1374.6999999999998</v>
      </c>
      <c r="R64" s="107">
        <f t="shared" ref="R64:R93" si="22">IF($H64=0,"",$Q64+$M64)</f>
        <v>1374.6999999999998</v>
      </c>
      <c r="S64" s="108">
        <f t="shared" ref="S64:S93" si="23">IF($H64=0,"",$R64-$O64)</f>
        <v>0</v>
      </c>
      <c r="T64" s="107">
        <f t="shared" ref="T64:T93" si="24">IF($I64=0,"",$I64*$D64)</f>
        <v>1275.675</v>
      </c>
      <c r="U64" s="178">
        <f t="shared" ref="U64:U93" si="25">IF($H64=0,"",$R64-$T64)</f>
        <v>99.024999999999864</v>
      </c>
    </row>
    <row r="65" spans="1:21" ht="13.5" customHeight="1">
      <c r="A65" s="109" t="s">
        <v>262</v>
      </c>
      <c r="B65" s="110">
        <v>131.5</v>
      </c>
      <c r="C65" s="110">
        <v>1</v>
      </c>
      <c r="D65" s="110">
        <v>131.5</v>
      </c>
      <c r="E65" s="164">
        <v>2.16</v>
      </c>
      <c r="F65" s="168">
        <v>0</v>
      </c>
      <c r="G65" s="182">
        <v>1.94</v>
      </c>
      <c r="H65" s="171">
        <v>1.94</v>
      </c>
      <c r="I65" s="171">
        <v>1.75</v>
      </c>
      <c r="J65" s="13"/>
      <c r="K65" s="119"/>
      <c r="L65" s="107">
        <f t="shared" si="16"/>
        <v>284.04000000000002</v>
      </c>
      <c r="M65" s="121">
        <f t="shared" si="17"/>
        <v>0</v>
      </c>
      <c r="N65" s="121">
        <f t="shared" si="18"/>
        <v>255.10999999999999</v>
      </c>
      <c r="O65" s="107">
        <f t="shared" si="20"/>
        <v>255.10999999999999</v>
      </c>
      <c r="P65" s="108">
        <f t="shared" si="21"/>
        <v>28.930000000000035</v>
      </c>
      <c r="Q65" s="107">
        <f t="shared" si="19"/>
        <v>255.10999999999999</v>
      </c>
      <c r="R65" s="107">
        <f t="shared" si="22"/>
        <v>255.10999999999999</v>
      </c>
      <c r="S65" s="108">
        <f t="shared" si="23"/>
        <v>0</v>
      </c>
      <c r="T65" s="107">
        <f t="shared" si="24"/>
        <v>230.125</v>
      </c>
      <c r="U65" s="178">
        <f t="shared" si="25"/>
        <v>24.984999999999985</v>
      </c>
    </row>
    <row r="66" spans="1:21" ht="13.5" customHeight="1">
      <c r="A66" s="109" t="s">
        <v>263</v>
      </c>
      <c r="B66" s="110">
        <v>551.79999999999995</v>
      </c>
      <c r="C66" s="110">
        <v>1</v>
      </c>
      <c r="D66" s="110">
        <v>551.79999999999995</v>
      </c>
      <c r="E66" s="164">
        <v>3.52</v>
      </c>
      <c r="F66" s="168">
        <v>0</v>
      </c>
      <c r="G66" s="182">
        <v>2.98</v>
      </c>
      <c r="H66" s="171">
        <v>2.98</v>
      </c>
      <c r="I66" s="171">
        <v>2.93</v>
      </c>
      <c r="J66" s="13"/>
      <c r="K66" s="119"/>
      <c r="L66" s="107">
        <f t="shared" si="16"/>
        <v>1942.3359999999998</v>
      </c>
      <c r="M66" s="121">
        <f t="shared" si="17"/>
        <v>0</v>
      </c>
      <c r="N66" s="121">
        <f t="shared" si="18"/>
        <v>1644.3639999999998</v>
      </c>
      <c r="O66" s="107">
        <f t="shared" si="20"/>
        <v>1644.3639999999998</v>
      </c>
      <c r="P66" s="108">
        <f t="shared" si="21"/>
        <v>297.97199999999998</v>
      </c>
      <c r="Q66" s="107">
        <f t="shared" si="19"/>
        <v>1644.3639999999998</v>
      </c>
      <c r="R66" s="107">
        <f t="shared" si="22"/>
        <v>1644.3639999999998</v>
      </c>
      <c r="S66" s="108">
        <f t="shared" si="23"/>
        <v>0</v>
      </c>
      <c r="T66" s="107">
        <f t="shared" si="24"/>
        <v>1616.7739999999999</v>
      </c>
      <c r="U66" s="178">
        <f t="shared" si="25"/>
        <v>27.589999999999918</v>
      </c>
    </row>
    <row r="67" spans="1:21" ht="13.5" customHeight="1">
      <c r="A67" s="109" t="s">
        <v>264</v>
      </c>
      <c r="B67" s="110">
        <v>539.9</v>
      </c>
      <c r="C67" s="110">
        <v>1</v>
      </c>
      <c r="D67" s="110">
        <v>539.9</v>
      </c>
      <c r="E67" s="164">
        <v>6.35</v>
      </c>
      <c r="F67" s="168">
        <v>0</v>
      </c>
      <c r="G67" s="182">
        <v>3.93</v>
      </c>
      <c r="H67" s="171">
        <v>3.93</v>
      </c>
      <c r="I67" s="171">
        <v>3.7</v>
      </c>
      <c r="J67" s="13"/>
      <c r="K67" s="119"/>
      <c r="L67" s="107">
        <f t="shared" si="16"/>
        <v>3428.3649999999998</v>
      </c>
      <c r="M67" s="121">
        <f t="shared" si="17"/>
        <v>0</v>
      </c>
      <c r="N67" s="121">
        <f t="shared" si="18"/>
        <v>2121.8069999999998</v>
      </c>
      <c r="O67" s="107">
        <f t="shared" si="20"/>
        <v>2121.8069999999998</v>
      </c>
      <c r="P67" s="108">
        <f t="shared" si="21"/>
        <v>1306.558</v>
      </c>
      <c r="Q67" s="107">
        <f t="shared" si="19"/>
        <v>2121.8069999999998</v>
      </c>
      <c r="R67" s="107">
        <f t="shared" si="22"/>
        <v>2121.8069999999998</v>
      </c>
      <c r="S67" s="108">
        <f t="shared" si="23"/>
        <v>0</v>
      </c>
      <c r="T67" s="107">
        <f t="shared" si="24"/>
        <v>1997.63</v>
      </c>
      <c r="U67" s="178">
        <f t="shared" si="25"/>
        <v>124.17699999999968</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5</v>
      </c>
      <c r="D94" s="6">
        <f>SUM(D63:D93)</f>
        <v>22978.5</v>
      </c>
      <c r="E94" s="152">
        <f>IFERROR(SUMPRODUCT($D$63:$D$93,E63:E93)/$D$94,0)</f>
        <v>3.2778610005004669</v>
      </c>
      <c r="F94" s="184">
        <f t="shared" ref="F94:I94" si="26">IFERROR(SUMPRODUCT($D$63:$D$93,F63:F93)/$D$94,0)</f>
        <v>0</v>
      </c>
      <c r="G94" s="152">
        <f t="shared" si="26"/>
        <v>2.8608682464042472</v>
      </c>
      <c r="H94" s="152">
        <f t="shared" si="26"/>
        <v>2.8608682464042472</v>
      </c>
      <c r="I94" s="152">
        <f t="shared" si="26"/>
        <v>2.5355846552211849</v>
      </c>
      <c r="J94" s="13"/>
      <c r="K94" s="119"/>
      <c r="L94" s="153">
        <f>SUM(L63:L93)</f>
        <v>75320.328999999983</v>
      </c>
      <c r="M94" s="153">
        <f t="shared" ref="M94:T94" si="27">SUM(M63:M93)</f>
        <v>0</v>
      </c>
      <c r="N94" s="153">
        <f t="shared" si="27"/>
        <v>65738.460999999996</v>
      </c>
      <c r="O94" s="153">
        <f t="shared" si="27"/>
        <v>65738.460999999996</v>
      </c>
      <c r="P94" s="153">
        <f t="shared" si="27"/>
        <v>9581.8679999999913</v>
      </c>
      <c r="Q94" s="153">
        <f t="shared" si="27"/>
        <v>65738.460999999996</v>
      </c>
      <c r="R94" s="153">
        <f t="shared" si="27"/>
        <v>65738.460999999996</v>
      </c>
      <c r="S94" s="153">
        <f t="shared" si="27"/>
        <v>0</v>
      </c>
      <c r="T94" s="153">
        <f t="shared" si="27"/>
        <v>58263.931999999993</v>
      </c>
      <c r="U94" s="179">
        <f t="shared" ref="U94" si="28">SUM(U63:U93)</f>
        <v>7474.5290000000068</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25873.02</v>
      </c>
      <c r="E96" s="155" t="s">
        <v>22</v>
      </c>
      <c r="F96" s="155" t="s">
        <v>22</v>
      </c>
      <c r="G96" s="155" t="s">
        <v>22</v>
      </c>
      <c r="H96" s="155" t="s">
        <v>22</v>
      </c>
      <c r="I96" s="155" t="s">
        <v>22</v>
      </c>
      <c r="J96" s="122"/>
      <c r="K96" s="123"/>
      <c r="L96" s="156">
        <f>L58+L94</f>
        <v>129552.38309999999</v>
      </c>
      <c r="M96" s="156">
        <f t="shared" ref="M96:T96" si="29">M58+M94</f>
        <v>-2840.7022009001912</v>
      </c>
      <c r="N96" s="156">
        <f t="shared" si="29"/>
        <v>114646.87119999999</v>
      </c>
      <c r="O96" s="156">
        <f t="shared" si="29"/>
        <v>111806.16899909981</v>
      </c>
      <c r="P96" s="156">
        <f t="shared" si="29"/>
        <v>17746.214100900186</v>
      </c>
      <c r="Q96" s="156">
        <f t="shared" si="29"/>
        <v>114646.87119999999</v>
      </c>
      <c r="R96" s="156">
        <f t="shared" si="29"/>
        <v>111806.16899909981</v>
      </c>
      <c r="S96" s="156">
        <f t="shared" ref="S96" si="30">S58+S94</f>
        <v>0</v>
      </c>
      <c r="T96" s="156">
        <f t="shared" si="29"/>
        <v>69783.114199999996</v>
      </c>
      <c r="U96" s="181">
        <f>U58+U94</f>
        <v>42023.054799099817</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80" zoomScaleNormal="80" workbookViewId="0">
      <selection activeCell="E14" sqref="E14"/>
    </sheetView>
  </sheetViews>
  <sheetFormatPr defaultColWidth="0" defaultRowHeight="13.2" zeroHeight="1"/>
  <cols>
    <col min="1" max="1" width="22.5546875" style="60" customWidth="1"/>
    <col min="2" max="11" width="12.109375" style="60" customWidth="1"/>
    <col min="12" max="13" width="12.109375" style="61" customWidth="1"/>
    <col min="14" max="14" width="19" style="61" customWidth="1"/>
    <col min="15" max="15" width="21" style="61" customWidth="1"/>
    <col min="16" max="16" width="21.33203125" style="61" customWidth="1"/>
    <col min="17" max="17" width="22.109375" style="61" customWidth="1"/>
    <col min="18" max="18" width="20.109375" style="60" customWidth="1"/>
    <col min="19" max="19" width="19.33203125" style="60" customWidth="1"/>
    <col min="20" max="20" width="41.5546875" style="60" customWidth="1"/>
    <col min="21" max="26" width="8.6640625" style="60" customWidth="1"/>
    <col min="27" max="16384" width="8.664062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7.399999999999999">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2"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7"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v>3992</v>
      </c>
      <c r="C6" s="75">
        <f>141242</f>
        <v>141242</v>
      </c>
      <c r="D6" s="75">
        <f>99768+324712</f>
        <v>424480</v>
      </c>
      <c r="E6" s="75">
        <v>0</v>
      </c>
      <c r="F6" s="75">
        <v>0</v>
      </c>
      <c r="G6" s="75">
        <v>0</v>
      </c>
      <c r="H6" s="75">
        <v>0</v>
      </c>
      <c r="I6" s="75">
        <v>0</v>
      </c>
      <c r="J6" s="75">
        <v>0</v>
      </c>
      <c r="K6" s="75">
        <v>0</v>
      </c>
      <c r="L6" s="76" t="s">
        <v>314</v>
      </c>
      <c r="M6" s="76" t="s">
        <v>314</v>
      </c>
      <c r="N6" s="293">
        <f>IF('EUI &amp; space heating demand'!B6="","",SUM('EUI &amp; space heating demand'!$D$6:$I$7)/SUM('EUI &amp; space heating demand'!$B$6:$B$7))</f>
        <v>100.07989111837556</v>
      </c>
      <c r="O6" s="293">
        <f>IF('EUI &amp; space heating demand'!B6="","",'EUI &amp; space heating demand'!C6/'EUI &amp; space heating demand'!B6)</f>
        <v>35.381262525050097</v>
      </c>
      <c r="P6" s="293">
        <f>IF('EUI &amp; space heating demand'!B6="","",Tables!B29)</f>
        <v>35</v>
      </c>
      <c r="Q6" s="293">
        <f>IF('EUI &amp; space heating demand'!B6="","",Tables!C29)</f>
        <v>15</v>
      </c>
      <c r="R6" s="77" t="s">
        <v>320</v>
      </c>
      <c r="S6" s="77" t="s">
        <v>318</v>
      </c>
      <c r="T6" s="79" t="s">
        <v>319</v>
      </c>
    </row>
    <row r="7" spans="1:20" ht="33.75" customHeight="1">
      <c r="A7" s="95" t="s">
        <v>50</v>
      </c>
      <c r="B7" s="75">
        <v>383</v>
      </c>
      <c r="C7" s="75">
        <v>0</v>
      </c>
      <c r="D7" s="75">
        <v>13369.523642893044</v>
      </c>
      <c r="E7" s="75">
        <v>0</v>
      </c>
      <c r="F7" s="75">
        <v>0</v>
      </c>
      <c r="G7" s="75">
        <v>0</v>
      </c>
      <c r="H7" s="75">
        <v>0</v>
      </c>
      <c r="I7" s="75">
        <v>0</v>
      </c>
      <c r="J7" s="75">
        <v>0</v>
      </c>
      <c r="K7" s="75">
        <v>0</v>
      </c>
      <c r="L7" s="76" t="s">
        <v>314</v>
      </c>
      <c r="M7" s="76" t="s">
        <v>314</v>
      </c>
      <c r="N7" s="294"/>
      <c r="O7" s="294"/>
      <c r="P7" s="294"/>
      <c r="Q7" s="294"/>
      <c r="R7" s="77" t="s">
        <v>315</v>
      </c>
      <c r="S7" s="77" t="s">
        <v>316</v>
      </c>
      <c r="T7" s="79" t="s">
        <v>317</v>
      </c>
    </row>
    <row r="8" spans="1:20" ht="19.5" customHeight="1">
      <c r="A8" s="63" t="s">
        <v>51</v>
      </c>
      <c r="B8" s="63">
        <f>SUM(B6:B7)</f>
        <v>4375</v>
      </c>
      <c r="C8" s="63">
        <f>SUM(C6:C7)</f>
        <v>141242</v>
      </c>
      <c r="D8" s="63">
        <f t="shared" ref="D8:K8" si="0">SUM(D6:D7)</f>
        <v>437849.52364289307</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t="s">
        <v>59</v>
      </c>
      <c r="B13" s="75">
        <v>22650</v>
      </c>
      <c r="C13" s="75">
        <f>226.7401*1000</f>
        <v>226740.1</v>
      </c>
      <c r="D13" s="75">
        <v>1666664</v>
      </c>
      <c r="E13" s="75">
        <v>0</v>
      </c>
      <c r="F13" s="75">
        <v>0</v>
      </c>
      <c r="G13" s="75">
        <v>0</v>
      </c>
      <c r="H13" s="75">
        <v>0</v>
      </c>
      <c r="I13" s="75">
        <v>0</v>
      </c>
      <c r="J13" s="75">
        <v>0</v>
      </c>
      <c r="K13" s="75">
        <v>0</v>
      </c>
      <c r="L13" s="76" t="s">
        <v>314</v>
      </c>
      <c r="M13" s="76" t="s">
        <v>314</v>
      </c>
      <c r="N13" s="96">
        <f>IF('EUI &amp; space heating demand'!B13="","",SUM('EUI &amp; space heating demand'!$D13:$K13)/'EUI &amp; space heating demand'!B13)</f>
        <v>73.583399558498897</v>
      </c>
      <c r="O13" s="96">
        <f>IF('EUI &amp; space heating demand'!B13="","",'EUI &amp; space heating demand'!C13/'EUI &amp; space heating demand'!B13)</f>
        <v>10.010600441501104</v>
      </c>
      <c r="P13" s="96">
        <f>IF('EUI &amp; space heating demand'!B13="","", VLOOKUP(A13,Tables!$A$24:$C$27,2))</f>
        <v>55</v>
      </c>
      <c r="Q13" s="96">
        <f>IF('EUI &amp; space heating demand'!B13="","", VLOOKUP(A13,Tables!$A$24:$C$27,3))</f>
        <v>15</v>
      </c>
      <c r="R13" s="77" t="s">
        <v>318</v>
      </c>
      <c r="S13" s="77" t="s">
        <v>316</v>
      </c>
      <c r="T13" s="79" t="s">
        <v>321</v>
      </c>
    </row>
    <row r="14" spans="1:20" ht="25.2" customHeight="1">
      <c r="A14" s="75" t="s">
        <v>57</v>
      </c>
      <c r="B14" s="75">
        <f>447+186</f>
        <v>633</v>
      </c>
      <c r="C14" s="75">
        <f>12.9171*1000</f>
        <v>12917.1</v>
      </c>
      <c r="D14" s="75">
        <v>72506</v>
      </c>
      <c r="E14" s="75">
        <v>0</v>
      </c>
      <c r="F14" s="75">
        <v>0</v>
      </c>
      <c r="G14" s="75">
        <v>0</v>
      </c>
      <c r="H14" s="75">
        <v>0</v>
      </c>
      <c r="I14" s="75">
        <v>0</v>
      </c>
      <c r="J14" s="75">
        <v>0</v>
      </c>
      <c r="K14" s="75">
        <v>0</v>
      </c>
      <c r="L14" s="76" t="s">
        <v>314</v>
      </c>
      <c r="M14" s="76" t="s">
        <v>314</v>
      </c>
      <c r="N14" s="96">
        <f>IF('EUI &amp; space heating demand'!B14="","",SUM('EUI &amp; space heating demand'!$D14:$K14)/'EUI &amp; space heating demand'!B14)</f>
        <v>114.5434439178515</v>
      </c>
      <c r="O14" s="96">
        <f>IF('EUI &amp; space heating demand'!B14="","",'EUI &amp; space heating demand'!C14/'EUI &amp; space heating demand'!B14)</f>
        <v>20.406161137440758</v>
      </c>
      <c r="P14" s="96">
        <f>IF('EUI &amp; space heating demand'!B14="","", VLOOKUP(A14,Tables!$A$24:$C$27,2))</f>
        <v>55</v>
      </c>
      <c r="Q14" s="96">
        <f>IF('EUI &amp; space heating demand'!B14="","", VLOOKUP(A14,Tables!$A$24:$C$27,3))</f>
        <v>15</v>
      </c>
      <c r="R14" s="77" t="s">
        <v>318</v>
      </c>
      <c r="S14" s="77" t="s">
        <v>316</v>
      </c>
      <c r="T14" s="79" t="s">
        <v>321</v>
      </c>
    </row>
    <row r="15" spans="1:20" ht="25.2" customHeight="1">
      <c r="A15" s="75" t="s">
        <v>57</v>
      </c>
      <c r="B15" s="75">
        <v>23</v>
      </c>
      <c r="C15" s="75">
        <f>0.4499*1000</f>
        <v>449.90000000000003</v>
      </c>
      <c r="D15" s="75">
        <v>3467</v>
      </c>
      <c r="E15" s="75">
        <v>0</v>
      </c>
      <c r="F15" s="75">
        <v>0</v>
      </c>
      <c r="G15" s="75">
        <v>0</v>
      </c>
      <c r="H15" s="75">
        <v>0</v>
      </c>
      <c r="I15" s="75">
        <v>0</v>
      </c>
      <c r="J15" s="75">
        <v>0</v>
      </c>
      <c r="K15" s="75">
        <v>0</v>
      </c>
      <c r="L15" s="76" t="s">
        <v>314</v>
      </c>
      <c r="M15" s="76" t="s">
        <v>314</v>
      </c>
      <c r="N15" s="96">
        <f>IF('EUI &amp; space heating demand'!B15="","",SUM('EUI &amp; space heating demand'!$D15:$K15)/'EUI &amp; space heating demand'!B15)</f>
        <v>150.7391304347826</v>
      </c>
      <c r="O15" s="96">
        <f>IF('EUI &amp; space heating demand'!B15="","",'EUI &amp; space heating demand'!C15/'EUI &amp; space heating demand'!B15)</f>
        <v>19.560869565217391</v>
      </c>
      <c r="P15" s="96">
        <f>IF('EUI &amp; space heating demand'!B15="","", VLOOKUP(A15,Tables!$A$24:$C$27,2))</f>
        <v>55</v>
      </c>
      <c r="Q15" s="96">
        <f>IF('EUI &amp; space heating demand'!B15="","", VLOOKUP(A15,Tables!$A$24:$C$27,3))</f>
        <v>15</v>
      </c>
      <c r="R15" s="77" t="s">
        <v>318</v>
      </c>
      <c r="S15" s="77" t="s">
        <v>316</v>
      </c>
      <c r="T15" s="79" t="s">
        <v>321</v>
      </c>
    </row>
    <row r="16" spans="1:20" ht="25.2" customHeight="1">
      <c r="A16" s="75" t="s">
        <v>57</v>
      </c>
      <c r="B16" s="75">
        <v>319</v>
      </c>
      <c r="C16" s="75">
        <f>1.8697*1000</f>
        <v>1869.6999999999998</v>
      </c>
      <c r="D16" s="75">
        <v>40011</v>
      </c>
      <c r="E16" s="75">
        <v>0</v>
      </c>
      <c r="F16" s="75">
        <v>0</v>
      </c>
      <c r="G16" s="75">
        <v>0</v>
      </c>
      <c r="H16" s="75">
        <v>0</v>
      </c>
      <c r="I16" s="75">
        <v>0</v>
      </c>
      <c r="J16" s="75">
        <v>0</v>
      </c>
      <c r="K16" s="75">
        <v>0</v>
      </c>
      <c r="L16" s="76" t="s">
        <v>314</v>
      </c>
      <c r="M16" s="76" t="s">
        <v>314</v>
      </c>
      <c r="N16" s="96">
        <f>IF('EUI &amp; space heating demand'!B16="","",SUM('EUI &amp; space heating demand'!$D16:$K16)/'EUI &amp; space heating demand'!B16)</f>
        <v>125.42633228840126</v>
      </c>
      <c r="O16" s="96">
        <f>IF('EUI &amp; space heating demand'!B16="","",'EUI &amp; space heating demand'!C16/'EUI &amp; space heating demand'!B16)</f>
        <v>5.8611285266457678</v>
      </c>
      <c r="P16" s="96">
        <f>IF('EUI &amp; space heating demand'!B16="","", VLOOKUP(A16,Tables!$A$24:$C$27,2))</f>
        <v>55</v>
      </c>
      <c r="Q16" s="96">
        <f>IF('EUI &amp; space heating demand'!B16="","", VLOOKUP(A16,Tables!$A$24:$C$27,3))</f>
        <v>15</v>
      </c>
      <c r="R16" s="77" t="s">
        <v>318</v>
      </c>
      <c r="S16" s="77" t="s">
        <v>316</v>
      </c>
      <c r="T16" s="79" t="s">
        <v>321</v>
      </c>
    </row>
    <row r="17" spans="1:20" ht="25.2" customHeight="1">
      <c r="A17" s="75" t="s">
        <v>57</v>
      </c>
      <c r="B17" s="75">
        <v>692</v>
      </c>
      <c r="C17" s="75">
        <f>5.0085*1000</f>
        <v>5008.5</v>
      </c>
      <c r="D17" s="75">
        <v>84337</v>
      </c>
      <c r="E17" s="75">
        <v>0</v>
      </c>
      <c r="F17" s="75">
        <v>0</v>
      </c>
      <c r="G17" s="75">
        <v>0</v>
      </c>
      <c r="H17" s="75">
        <v>0</v>
      </c>
      <c r="I17" s="75">
        <v>0</v>
      </c>
      <c r="J17" s="75">
        <v>0</v>
      </c>
      <c r="K17" s="75">
        <v>0</v>
      </c>
      <c r="L17" s="76" t="s">
        <v>314</v>
      </c>
      <c r="M17" s="76" t="s">
        <v>314</v>
      </c>
      <c r="N17" s="96">
        <f>IF('EUI &amp; space heating demand'!B17="","",SUM('EUI &amp; space heating demand'!$D17:$K17)/'EUI &amp; space heating demand'!B17)</f>
        <v>121.87427745664741</v>
      </c>
      <c r="O17" s="96">
        <f>IF('EUI &amp; space heating demand'!B17="","",'EUI &amp; space heating demand'!C17/'EUI &amp; space heating demand'!B17)</f>
        <v>7.2377167630057802</v>
      </c>
      <c r="P17" s="96">
        <f>IF('EUI &amp; space heating demand'!B17="","", VLOOKUP(A17,Tables!$A$24:$C$27,2))</f>
        <v>55</v>
      </c>
      <c r="Q17" s="96">
        <f>IF('EUI &amp; space heating demand'!B17="","", VLOOKUP(A17,Tables!$A$24:$C$27,3))</f>
        <v>15</v>
      </c>
      <c r="R17" s="77" t="s">
        <v>318</v>
      </c>
      <c r="S17" s="77" t="s">
        <v>316</v>
      </c>
      <c r="T17" s="79" t="s">
        <v>321</v>
      </c>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24317</v>
      </c>
      <c r="C33" s="63">
        <f t="shared" ref="C33:K33" si="1">SUM(C13:C32)</f>
        <v>246985.30000000002</v>
      </c>
      <c r="D33" s="63">
        <f t="shared" si="1"/>
        <v>1866985</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4" zoomScale="68" zoomScaleNormal="68" workbookViewId="0">
      <selection activeCell="F14" sqref="F14"/>
    </sheetView>
  </sheetViews>
  <sheetFormatPr defaultColWidth="8.33203125" defaultRowHeight="13.2"/>
  <cols>
    <col min="1" max="1" width="5.5546875" style="2" customWidth="1"/>
    <col min="2" max="2" width="28.109375" style="2" customWidth="1"/>
    <col min="3" max="4" width="28.109375" style="16" customWidth="1"/>
    <col min="5" max="5" width="22.88671875" style="2" customWidth="1"/>
    <col min="6" max="6" width="24.33203125" style="2" customWidth="1"/>
    <col min="7" max="7" width="5.5546875" style="2" customWidth="1"/>
    <col min="8" max="10" width="28.109375" style="2" customWidth="1"/>
    <col min="11" max="11" width="18" style="2" customWidth="1"/>
    <col min="12" max="12" width="14.109375" style="2" customWidth="1"/>
    <col min="13" max="13" width="10.88671875" style="2" customWidth="1"/>
    <col min="14" max="16384" width="8.332031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54.232054100000006</v>
      </c>
      <c r="D8" s="66">
        <f>(99768.39*0.136)/1000</f>
        <v>13.568501040000001</v>
      </c>
      <c r="E8" s="54"/>
      <c r="F8" s="26"/>
      <c r="G8" s="54"/>
      <c r="H8" s="24" t="s">
        <v>69</v>
      </c>
      <c r="I8" s="25">
        <f>'Part L Outputs'!L94/1000</f>
        <v>75.320328999999987</v>
      </c>
      <c r="J8" s="66">
        <v>124.023</v>
      </c>
      <c r="K8" s="81"/>
      <c r="L8" s="81"/>
      <c r="M8" s="90"/>
    </row>
    <row r="9" spans="1:13" s="27" customFormat="1" ht="45" customHeight="1">
      <c r="B9" s="24" t="s">
        <v>70</v>
      </c>
      <c r="C9" s="25">
        <f>'Part L Outputs'!O58/1000</f>
        <v>46.06770799909981</v>
      </c>
      <c r="D9" s="66">
        <f>(99768.39*0.136)/1000</f>
        <v>13.568501040000001</v>
      </c>
      <c r="E9" s="54"/>
      <c r="F9" s="26"/>
      <c r="G9" s="54"/>
      <c r="H9" s="24" t="s">
        <v>70</v>
      </c>
      <c r="I9" s="25">
        <f>'Part L Outputs'!O94/1000</f>
        <v>65.738461000000001</v>
      </c>
      <c r="J9" s="66">
        <v>124.023</v>
      </c>
      <c r="K9" s="81"/>
      <c r="L9" s="81"/>
      <c r="M9" s="90"/>
    </row>
    <row r="10" spans="1:13" s="27" customFormat="1" ht="45" customHeight="1">
      <c r="B10" s="24" t="s">
        <v>71</v>
      </c>
      <c r="C10" s="25">
        <f>'Part L Outputs'!R58/1000</f>
        <v>46.06770799909981</v>
      </c>
      <c r="D10" s="66">
        <f>(99768.39*0.136)/1000</f>
        <v>13.568501040000001</v>
      </c>
      <c r="E10" s="54"/>
      <c r="F10" s="26"/>
      <c r="G10" s="54"/>
      <c r="H10" s="24" t="s">
        <v>71</v>
      </c>
      <c r="I10" s="25">
        <f>'Part L Outputs'!R94/1000</f>
        <v>65.738461000000001</v>
      </c>
      <c r="J10" s="66">
        <v>124.023</v>
      </c>
      <c r="K10" s="81"/>
      <c r="L10" s="81"/>
      <c r="M10" s="90"/>
    </row>
    <row r="11" spans="1:13" s="27" customFormat="1" ht="45" customHeight="1">
      <c r="B11" s="24" t="s">
        <v>72</v>
      </c>
      <c r="C11" s="25">
        <f>'Part L Outputs'!T58/1000</f>
        <v>11.519182199999999</v>
      </c>
      <c r="D11" s="66">
        <f>(99768.39*0.136)/1000</f>
        <v>13.568501040000001</v>
      </c>
      <c r="E11" s="185"/>
      <c r="F11" s="26"/>
      <c r="G11" s="54"/>
      <c r="H11" s="24" t="s">
        <v>72</v>
      </c>
      <c r="I11" s="25">
        <f>'Part L Outputs'!T94/1000</f>
        <v>58.263931999999997</v>
      </c>
      <c r="J11" s="66">
        <v>124.023</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8.1643461009001967</v>
      </c>
      <c r="D18" s="31">
        <f>IFERROR(C18/C8,0)</f>
        <v>0.15054465917602403</v>
      </c>
      <c r="E18" s="28"/>
      <c r="F18" s="29"/>
      <c r="G18" s="28"/>
      <c r="H18" s="24" t="s">
        <v>79</v>
      </c>
      <c r="I18" s="25">
        <f>I8-I9</f>
        <v>9.5818679999999858</v>
      </c>
      <c r="J18" s="31">
        <f>IFERROR(I18/I8,0)</f>
        <v>0.1272148983842063</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34.548525799099806</v>
      </c>
      <c r="D20" s="31">
        <f>IFERROR(C20/C8,0)</f>
        <v>0.63704992135084559</v>
      </c>
      <c r="E20" s="28"/>
      <c r="F20" s="29"/>
      <c r="G20" s="28"/>
      <c r="H20" s="24" t="s">
        <v>81</v>
      </c>
      <c r="I20" s="25">
        <f>I10-I11</f>
        <v>7.474529000000004</v>
      </c>
      <c r="J20" s="31">
        <f>IFERROR(I20/I8,0)</f>
        <v>9.9236542102730391E-2</v>
      </c>
      <c r="K20" s="28"/>
      <c r="L20" s="28"/>
      <c r="M20" s="91"/>
    </row>
    <row r="21" spans="2:13" s="30" customFormat="1" ht="45" customHeight="1">
      <c r="B21" s="32" t="s">
        <v>82</v>
      </c>
      <c r="C21" s="33">
        <f>C8-C11</f>
        <v>42.71287190000001</v>
      </c>
      <c r="D21" s="34">
        <f>IFERROR(C21/C8,0)</f>
        <v>0.7875945805268697</v>
      </c>
      <c r="E21" s="28"/>
      <c r="F21" s="29"/>
      <c r="G21" s="28"/>
      <c r="H21" s="32" t="s">
        <v>83</v>
      </c>
      <c r="I21" s="33">
        <f>I8-I11</f>
        <v>17.05639699999999</v>
      </c>
      <c r="J21" s="34">
        <f>IFERROR(I21/I8,0)</f>
        <v>0.22645144048693672</v>
      </c>
      <c r="K21" s="92"/>
      <c r="L21" s="28"/>
      <c r="M21" s="91"/>
    </row>
    <row r="22" spans="2:13" s="30" customFormat="1" ht="45" customHeight="1">
      <c r="B22" s="24" t="s">
        <v>84</v>
      </c>
      <c r="C22" s="25">
        <f>(C8-C21)</f>
        <v>11.519182199999996</v>
      </c>
      <c r="D22" s="35" t="s">
        <v>22</v>
      </c>
      <c r="E22" s="28"/>
      <c r="F22" s="29"/>
      <c r="G22" s="28"/>
      <c r="H22" s="24" t="s">
        <v>84</v>
      </c>
      <c r="I22" s="25">
        <f>(I8-I21)</f>
        <v>58.263931999999997</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345.57546599999989</v>
      </c>
      <c r="D24" s="35" t="s">
        <v>22</v>
      </c>
      <c r="E24" s="28"/>
      <c r="F24" s="29"/>
      <c r="G24" s="28"/>
      <c r="H24" s="32" t="s">
        <v>86</v>
      </c>
      <c r="I24" s="36">
        <f>I22*30</f>
        <v>1747.91796</v>
      </c>
      <c r="J24" s="35" t="s">
        <v>22</v>
      </c>
      <c r="K24" s="28"/>
      <c r="L24" s="28"/>
      <c r="M24" s="91"/>
    </row>
    <row r="25" spans="2:13" s="30" customFormat="1" ht="45" customHeight="1">
      <c r="B25" s="32" t="s">
        <v>87</v>
      </c>
      <c r="C25" s="36">
        <f>IFERROR(IF('Development Information'!$D$10=0,C22*95*30,C22*'Development Information'!$D$10*30),"")</f>
        <v>32829.669269999991</v>
      </c>
      <c r="D25" s="35"/>
      <c r="E25" s="28"/>
      <c r="F25" s="29"/>
      <c r="G25" s="28"/>
      <c r="H25" s="32" t="s">
        <v>87</v>
      </c>
      <c r="I25" s="36">
        <f>IFERROR(IF('Development Information'!$D$10=0,I22*95*30,I22*'Development Information'!$D$10*30),"")</f>
        <v>166052.20619999999</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129.55238309999999</v>
      </c>
      <c r="D61" s="41"/>
      <c r="E61" s="42"/>
      <c r="F61" s="56">
        <f>$C$61</f>
        <v>129.55238309999999</v>
      </c>
      <c r="G61" s="56"/>
      <c r="H61" s="48" t="s">
        <v>97</v>
      </c>
      <c r="I61" s="49">
        <f>IFERROR('Part L Outputs'!J58,"")</f>
        <v>51.797582984398097</v>
      </c>
      <c r="J61" s="49">
        <f>IFERROR('Part L Outputs'!K58,"")</f>
        <v>47.989803974406797</v>
      </c>
      <c r="K61" s="44">
        <f>IFERROR(1-J61/I61,"")</f>
        <v>7.3512677437830187E-2</v>
      </c>
      <c r="L61" s="55"/>
      <c r="M61" s="91"/>
    </row>
    <row r="62" spans="1:13" s="30" customFormat="1" ht="40.200000000000003" customHeight="1">
      <c r="B62" s="43" t="s">
        <v>98</v>
      </c>
      <c r="C62" s="40">
        <f>'Part L Outputs'!O96/1000</f>
        <v>111.80616899909981</v>
      </c>
      <c r="D62" s="40">
        <f>C61-C62</f>
        <v>17.746214100900175</v>
      </c>
      <c r="E62" s="44">
        <f>IFERROR(D62/C61,0)</f>
        <v>0.1369809931416088</v>
      </c>
      <c r="F62" s="56">
        <f>$C$61</f>
        <v>129.55238309999999</v>
      </c>
      <c r="G62" s="56"/>
      <c r="H62" s="28"/>
      <c r="I62" s="73"/>
      <c r="J62" s="73"/>
      <c r="K62" s="28"/>
      <c r="L62" s="55"/>
      <c r="M62" s="91"/>
    </row>
    <row r="63" spans="1:13" s="30" customFormat="1" ht="40.200000000000003" customHeight="1">
      <c r="B63" s="43" t="s">
        <v>99</v>
      </c>
      <c r="C63" s="40">
        <f>'Part L Outputs'!R96/1000</f>
        <v>111.80616899909981</v>
      </c>
      <c r="D63" s="40">
        <f>C62-C63</f>
        <v>0</v>
      </c>
      <c r="E63" s="44">
        <f>IFERROR(D63/C61,0)</f>
        <v>0</v>
      </c>
      <c r="F63" s="56">
        <f>$C$61</f>
        <v>129.55238309999999</v>
      </c>
      <c r="G63" s="56"/>
      <c r="H63" s="28"/>
      <c r="I63" s="73"/>
      <c r="J63" s="73"/>
      <c r="K63" s="28"/>
      <c r="L63" s="55"/>
      <c r="M63" s="91"/>
    </row>
    <row r="64" spans="1:13" s="30" customFormat="1" ht="64.8">
      <c r="B64" s="43" t="s">
        <v>100</v>
      </c>
      <c r="C64" s="40">
        <f>'Part L Outputs'!T96/1000</f>
        <v>69.7831142</v>
      </c>
      <c r="D64" s="40">
        <f>C63-C64</f>
        <v>42.02305479909981</v>
      </c>
      <c r="E64" s="44">
        <f>IFERROR(D64/C61,0)</f>
        <v>0.32437114465631017</v>
      </c>
      <c r="F64" s="56">
        <f>$C$61</f>
        <v>129.55238309999999</v>
      </c>
      <c r="G64" s="56"/>
      <c r="H64" s="71"/>
      <c r="I64" s="71" t="s">
        <v>258</v>
      </c>
      <c r="J64" s="71" t="s">
        <v>158</v>
      </c>
      <c r="K64" s="28"/>
      <c r="L64" s="55"/>
      <c r="M64" s="91"/>
    </row>
    <row r="65" spans="1:14" s="30" customFormat="1" ht="40.200000000000003" customHeight="1">
      <c r="B65" s="43" t="s">
        <v>101</v>
      </c>
      <c r="C65" s="45" t="s">
        <v>22</v>
      </c>
      <c r="D65" s="40">
        <f>SUM(D62:D64)</f>
        <v>59.769268899999986</v>
      </c>
      <c r="E65" s="44">
        <f>IFERROR(D65/C61,0)</f>
        <v>0.461352137797919</v>
      </c>
      <c r="F65" s="56">
        <f>$C$61</f>
        <v>129.55238309999999</v>
      </c>
      <c r="G65" s="56"/>
      <c r="H65" s="48" t="s">
        <v>102</v>
      </c>
      <c r="I65" s="67">
        <v>32.020000000000003</v>
      </c>
      <c r="J65" s="67">
        <v>560298</v>
      </c>
      <c r="K65" s="28"/>
      <c r="L65" s="55"/>
      <c r="M65" s="91"/>
    </row>
    <row r="66" spans="1:14" s="30" customFormat="1" ht="40.200000000000003" customHeight="1">
      <c r="B66" s="39"/>
      <c r="C66" s="45" t="s">
        <v>22</v>
      </c>
      <c r="D66" s="46" t="s">
        <v>103</v>
      </c>
      <c r="E66" s="44" t="s">
        <v>22</v>
      </c>
      <c r="F66" s="53"/>
      <c r="G66" s="53"/>
      <c r="H66" s="48" t="s">
        <v>104</v>
      </c>
      <c r="I66" s="67">
        <v>43.63</v>
      </c>
      <c r="J66" s="67">
        <v>763285</v>
      </c>
      <c r="K66" s="28"/>
      <c r="L66" s="55"/>
      <c r="M66" s="91"/>
    </row>
    <row r="67" spans="1:14" s="30" customFormat="1" ht="40.200000000000003" customHeight="1">
      <c r="B67" s="39" t="s">
        <v>105</v>
      </c>
      <c r="C67" s="45" t="s">
        <v>22</v>
      </c>
      <c r="D67" s="47">
        <f>C24+I24</f>
        <v>2093.493426</v>
      </c>
      <c r="E67" s="44" t="s">
        <v>22</v>
      </c>
      <c r="F67" s="53"/>
      <c r="G67" s="53"/>
      <c r="H67" s="28"/>
      <c r="I67" s="28"/>
      <c r="J67" s="28"/>
      <c r="K67" s="28"/>
      <c r="L67" s="55"/>
      <c r="M67" s="91"/>
    </row>
    <row r="68" spans="1:14" s="28" customFormat="1" ht="15">
      <c r="C68" s="73"/>
      <c r="D68" s="73"/>
      <c r="L68" s="55"/>
      <c r="M68" s="29"/>
    </row>
    <row r="69" spans="1:14" ht="24.6">
      <c r="A69" s="57"/>
      <c r="B69" s="310" t="s">
        <v>106</v>
      </c>
      <c r="C69" s="310"/>
      <c r="D69" s="310"/>
      <c r="E69" s="310"/>
      <c r="F69" s="310"/>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3" t="s">
        <v>108</v>
      </c>
      <c r="H71" s="303"/>
      <c r="I71" s="295" t="s">
        <v>109</v>
      </c>
      <c r="J71" s="304"/>
      <c r="K71" s="305"/>
      <c r="M71" s="91"/>
    </row>
    <row r="72" spans="1:14" ht="67.2" customHeight="1">
      <c r="B72" s="39" t="str">
        <f>IF('EUI &amp; space heating demand'!$B$6="","","Residential")</f>
        <v>Residential</v>
      </c>
      <c r="C72" s="39">
        <f>IF('EUI &amp; space heating demand'!$B$6="","",'EUI &amp; space heating demand'!N6)</f>
        <v>100.07989111837556</v>
      </c>
      <c r="D72" s="39">
        <f>IF('EUI &amp; space heating demand'!$B$6="","",'EUI &amp; space heating demand'!O6)</f>
        <v>35.381262525050097</v>
      </c>
      <c r="E72" s="97">
        <f>IF('EUI &amp; space heating demand'!B6="","", 'EUI &amp; space heating demand'!P6)</f>
        <v>35</v>
      </c>
      <c r="F72" s="97">
        <f>IF('EUI &amp; space heating demand'!B6="","", 'EUI &amp; space heating demand'!Q6)</f>
        <v>15</v>
      </c>
      <c r="G72" s="316" t="str">
        <f>IF('EUI &amp; space heating demand'!$B$6="","",CONCATENATE('EUI &amp; space heating demand'!R6, " &amp; ", 'EUI &amp; space heating demand'!S6,  " dwellings / ", 'EUI &amp; space heating demand'!R7, " &amp; ", 'EUI &amp; space heating demand'!S7, " Landlord Circulation " ))</f>
        <v xml:space="preserve">Part L1 - SAP 10.2 &amp; Other (provide details in column T) dwellings / Bespoke calculation (provide details in column T) &amp; CIBSE TM54 Landlord Circulation </v>
      </c>
      <c r="H72" s="317"/>
      <c r="I72" s="297" t="str">
        <f>IF('EUI &amp; space heating demand'!T6="","", CONCATENATE('EUI &amp; space heating demand'!T6, " &amp; ", 'EUI &amp; space heating demand'!T7))</f>
        <v>Elmhurst SAP calculations &amp; Excel calculations</v>
      </c>
      <c r="J72" s="297"/>
      <c r="K72" s="298"/>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Office</v>
      </c>
      <c r="C75" s="191">
        <f>IF('EUI &amp; space heating demand'!B13="","",'EUI &amp; space heating demand'!N13)</f>
        <v>73.583399558498897</v>
      </c>
      <c r="D75" s="191">
        <f>IF('EUI &amp; space heating demand'!B13="","",'EUI &amp; space heating demand'!O13)</f>
        <v>10.010600441501104</v>
      </c>
      <c r="E75" s="192">
        <f>IF('EUI &amp; space heating demand'!B13="","", 'EUI &amp; space heating demand'!P13)</f>
        <v>55</v>
      </c>
      <c r="F75" s="192">
        <f>IF('EUI &amp; space heating demand'!B13="","", 'EUI &amp; space heating demand'!Q13)</f>
        <v>15</v>
      </c>
      <c r="G75" s="311" t="str">
        <f>IF('EUI &amp; space heating demand'!B13="","",CONCATENATE('EUI &amp; space heating demand'!R13," &amp; ",'EUI &amp; space heating demand'!S13))</f>
        <v>Other (provide details in column T) &amp; CIBSE TM54</v>
      </c>
      <c r="H75" s="311"/>
      <c r="I75" s="311" t="str">
        <f>IF('EUI &amp; space heating demand'!T13="","", 'EUI &amp; space heating demand'!T13)</f>
        <v>IES VE 2022.3.0.0</v>
      </c>
      <c r="J75" s="311"/>
      <c r="K75" s="312"/>
      <c r="M75" s="91"/>
    </row>
    <row r="76" spans="1:14" ht="47.25" customHeight="1">
      <c r="B76" s="94" t="str">
        <f>IF('EUI &amp; space heating demand'!B14="","",'EUI &amp; space heating demand'!A14)</f>
        <v>All other non-residential</v>
      </c>
      <c r="C76" s="39">
        <f>IF('EUI &amp; space heating demand'!B14="","",'EUI &amp; space heating demand'!N14)</f>
        <v>114.5434439178515</v>
      </c>
      <c r="D76" s="39">
        <f>IF('EUI &amp; space heating demand'!B14="","",'EUI &amp; space heating demand'!O14)</f>
        <v>20.406161137440758</v>
      </c>
      <c r="E76" s="97">
        <f>IF('EUI &amp; space heating demand'!B14="","", 'EUI &amp; space heating demand'!P14)</f>
        <v>55</v>
      </c>
      <c r="F76" s="97">
        <f>IF('EUI &amp; space heating demand'!B14="","", 'EUI &amp; space heating demand'!Q14)</f>
        <v>15</v>
      </c>
      <c r="G76" s="297" t="str">
        <f>IF('EUI &amp; space heating demand'!B14="","",CONCATENATE('EUI &amp; space heating demand'!R14," &amp; ",'EUI &amp; space heating demand'!S14))</f>
        <v>Other (provide details in column T) &amp; CIBSE TM54</v>
      </c>
      <c r="H76" s="297"/>
      <c r="I76" s="297" t="str">
        <f>IF('EUI &amp; space heating demand'!T14="","", 'EUI &amp; space heating demand'!T14)</f>
        <v>IES VE 2022.3.0.0</v>
      </c>
      <c r="J76" s="297"/>
      <c r="K76" s="298"/>
      <c r="M76" s="91"/>
    </row>
    <row r="77" spans="1:14" ht="47.25" customHeight="1">
      <c r="B77" s="94" t="str">
        <f>IF('EUI &amp; space heating demand'!B15="","",'EUI &amp; space heating demand'!A15)</f>
        <v>All other non-residential</v>
      </c>
      <c r="C77" s="39">
        <f>IF('EUI &amp; space heating demand'!B15="","",'EUI &amp; space heating demand'!N15)</f>
        <v>150.7391304347826</v>
      </c>
      <c r="D77" s="39">
        <f>IF('EUI &amp; space heating demand'!B15="","",'EUI &amp; space heating demand'!O15)</f>
        <v>19.560869565217391</v>
      </c>
      <c r="E77" s="97">
        <f>IF('EUI &amp; space heating demand'!B15="","", 'EUI &amp; space heating demand'!P15)</f>
        <v>55</v>
      </c>
      <c r="F77" s="97">
        <f>IF('EUI &amp; space heating demand'!B15="","", 'EUI &amp; space heating demand'!Q15)</f>
        <v>15</v>
      </c>
      <c r="G77" s="297" t="str">
        <f>IF('EUI &amp; space heating demand'!B15="","",CONCATENATE('EUI &amp; space heating demand'!R15," &amp; ",'EUI &amp; space heating demand'!S15))</f>
        <v>Other (provide details in column T) &amp; CIBSE TM54</v>
      </c>
      <c r="H77" s="297"/>
      <c r="I77" s="297" t="str">
        <f>IF('EUI &amp; space heating demand'!T15="","", 'EUI &amp; space heating demand'!T15)</f>
        <v>IES VE 2022.3.0.0</v>
      </c>
      <c r="J77" s="297"/>
      <c r="K77" s="298"/>
      <c r="M77" s="91"/>
    </row>
    <row r="78" spans="1:14" ht="47.25" customHeight="1">
      <c r="B78" s="94" t="str">
        <f>IF('EUI &amp; space heating demand'!B16="","",'EUI &amp; space heating demand'!A16)</f>
        <v>All other non-residential</v>
      </c>
      <c r="C78" s="39">
        <f>IF('EUI &amp; space heating demand'!B16="","",'EUI &amp; space heating demand'!N16)</f>
        <v>125.42633228840126</v>
      </c>
      <c r="D78" s="39">
        <f>IF('EUI &amp; space heating demand'!B16="","",'EUI &amp; space heating demand'!O16)</f>
        <v>5.8611285266457678</v>
      </c>
      <c r="E78" s="97">
        <f>IF('EUI &amp; space heating demand'!B16="","", 'EUI &amp; space heating demand'!P16)</f>
        <v>55</v>
      </c>
      <c r="F78" s="97">
        <f>IF('EUI &amp; space heating demand'!B16="","", 'EUI &amp; space heating demand'!Q16)</f>
        <v>15</v>
      </c>
      <c r="G78" s="297" t="str">
        <f>IF('EUI &amp; space heating demand'!B16="","",CONCATENATE('EUI &amp; space heating demand'!R16," &amp; ",'EUI &amp; space heating demand'!S16))</f>
        <v>Other (provide details in column T) &amp; CIBSE TM54</v>
      </c>
      <c r="H78" s="297"/>
      <c r="I78" s="297" t="str">
        <f>IF('EUI &amp; space heating demand'!T16="","", 'EUI &amp; space heating demand'!T16)</f>
        <v>IES VE 2022.3.0.0</v>
      </c>
      <c r="J78" s="297"/>
      <c r="K78" s="298"/>
      <c r="M78" s="91"/>
    </row>
    <row r="79" spans="1:14" ht="47.25" customHeight="1">
      <c r="B79" s="94" t="str">
        <f>IF('EUI &amp; space heating demand'!B17="","",'EUI &amp; space heating demand'!A17)</f>
        <v>All other non-residential</v>
      </c>
      <c r="C79" s="39">
        <f>IF('EUI &amp; space heating demand'!B17="","",'EUI &amp; space heating demand'!N17)</f>
        <v>121.87427745664741</v>
      </c>
      <c r="D79" s="39">
        <f>IF('EUI &amp; space heating demand'!B17="","",'EUI &amp; space heating demand'!O17)</f>
        <v>7.2377167630057802</v>
      </c>
      <c r="E79" s="97">
        <f>IF('EUI &amp; space heating demand'!B17="","", 'EUI &amp; space heating demand'!P17)</f>
        <v>55</v>
      </c>
      <c r="F79" s="97">
        <f>IF('EUI &amp; space heating demand'!B17="","", 'EUI &amp; space heating demand'!Q17)</f>
        <v>15</v>
      </c>
      <c r="G79" s="297" t="str">
        <f>IF('EUI &amp; space heating demand'!B17="","",CONCATENATE('EUI &amp; space heating demand'!R17," &amp; ",'EUI &amp; space heating demand'!S17))</f>
        <v>Other (provide details in column T) &amp; CIBSE TM54</v>
      </c>
      <c r="H79" s="297"/>
      <c r="I79" s="297" t="str">
        <f>IF('EUI &amp; space heating demand'!T17="","", 'EUI &amp; space heating demand'!T17)</f>
        <v>IES VE 2022.3.0.0</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
  <cols>
    <col min="1" max="1" width="27.886718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54.232054100000006</v>
      </c>
      <c r="E7" s="135">
        <f t="shared" ref="E7:E12" si="0">D7*0.65</f>
        <v>35.250835165000005</v>
      </c>
    </row>
    <row r="8" spans="1:5">
      <c r="A8" s="134" t="s">
        <v>98</v>
      </c>
      <c r="B8" s="136">
        <f>'GLA Summary Tables'!C9</f>
        <v>46.06770799909981</v>
      </c>
      <c r="C8" s="136">
        <f>IF(B8&lt;0,IF('GLA Summary Tables'!C18&lt;0,0,'GLA Summary Tables'!C18)+B8,IF('GLA Summary Tables'!C18&lt;0,0,'GLA Summary Tables'!C18))</f>
        <v>8.1643461009001967</v>
      </c>
      <c r="D8" s="135">
        <f>'GLA Summary Tables'!C$8</f>
        <v>54.232054100000006</v>
      </c>
      <c r="E8" s="135">
        <f t="shared" si="0"/>
        <v>35.250835165000005</v>
      </c>
    </row>
    <row r="9" spans="1:5">
      <c r="A9" s="134" t="s">
        <v>112</v>
      </c>
      <c r="B9" s="136">
        <f>'GLA Summary Tables'!C10</f>
        <v>46.06770799909981</v>
      </c>
      <c r="C9" s="136">
        <f>IF(B9&lt;0,IF('GLA Summary Tables'!C19&lt;0,0,'GLA Summary Tables'!C19)+B9,IF('GLA Summary Tables'!C19&lt;0,0,'GLA Summary Tables'!C19))</f>
        <v>0</v>
      </c>
      <c r="D9" s="135">
        <f>'GLA Summary Tables'!C$8</f>
        <v>54.232054100000006</v>
      </c>
      <c r="E9" s="135">
        <f t="shared" si="0"/>
        <v>35.250835165000005</v>
      </c>
    </row>
    <row r="10" spans="1:5">
      <c r="A10" s="134" t="s">
        <v>113</v>
      </c>
      <c r="B10" s="136">
        <f>'GLA Summary Tables'!C11</f>
        <v>11.519182199999999</v>
      </c>
      <c r="C10" s="136">
        <f>IF(B10&lt;0,IF('GLA Summary Tables'!C20&lt;0,0,'GLA Summary Tables'!C20)+B10,IF('GLA Summary Tables'!C20&lt;0,0,'GLA Summary Tables'!C20))</f>
        <v>34.548525799099806</v>
      </c>
      <c r="D10" s="135">
        <f>'GLA Summary Tables'!C$8</f>
        <v>54.232054100000006</v>
      </c>
      <c r="E10" s="135">
        <f t="shared" si="0"/>
        <v>35.250835165000005</v>
      </c>
    </row>
    <row r="11" spans="1:5">
      <c r="A11" s="134" t="s">
        <v>114</v>
      </c>
      <c r="B11" s="136">
        <v>0</v>
      </c>
      <c r="C11" s="136">
        <f>'GLA Summary Tables'!C22</f>
        <v>11.519182199999996</v>
      </c>
      <c r="D11" s="135">
        <f>'GLA Summary Tables'!C$8</f>
        <v>54.232054100000006</v>
      </c>
      <c r="E11" s="135">
        <f t="shared" si="0"/>
        <v>35.250835165000005</v>
      </c>
    </row>
    <row r="12" spans="1:5">
      <c r="A12" s="134"/>
      <c r="B12" s="133"/>
      <c r="C12" s="133"/>
      <c r="D12" s="135">
        <f>'GLA Summary Tables'!C$8</f>
        <v>54.232054100000006</v>
      </c>
      <c r="E12" s="135">
        <f t="shared" si="0"/>
        <v>35.250835165000005</v>
      </c>
    </row>
    <row r="13" spans="1:5">
      <c r="A13" s="132" t="s">
        <v>115</v>
      </c>
      <c r="B13" s="133"/>
      <c r="C13" s="133"/>
      <c r="D13" s="134"/>
      <c r="E13" s="134"/>
    </row>
    <row r="14" spans="1:5">
      <c r="A14" s="134" t="s">
        <v>111</v>
      </c>
      <c r="B14" s="133"/>
      <c r="C14" s="133"/>
      <c r="D14" s="135">
        <f>'GLA Summary Tables'!I$8</f>
        <v>75.320328999999987</v>
      </c>
      <c r="E14" s="135">
        <f t="shared" ref="E14:E19" si="1">D14*0.65</f>
        <v>48.958213849999993</v>
      </c>
    </row>
    <row r="15" spans="1:5">
      <c r="A15" s="134" t="s">
        <v>98</v>
      </c>
      <c r="B15" s="136">
        <f>'GLA Summary Tables'!I9</f>
        <v>65.738461000000001</v>
      </c>
      <c r="C15" s="136">
        <f>'GLA Summary Tables'!I18</f>
        <v>9.5818679999999858</v>
      </c>
      <c r="D15" s="135">
        <f>'GLA Summary Tables'!I$8</f>
        <v>75.320328999999987</v>
      </c>
      <c r="E15" s="135">
        <f t="shared" si="1"/>
        <v>48.958213849999993</v>
      </c>
    </row>
    <row r="16" spans="1:5">
      <c r="A16" s="134" t="s">
        <v>112</v>
      </c>
      <c r="B16" s="136">
        <f>'GLA Summary Tables'!I10</f>
        <v>65.738461000000001</v>
      </c>
      <c r="C16" s="136">
        <f>'GLA Summary Tables'!I19</f>
        <v>0</v>
      </c>
      <c r="D16" s="135">
        <f>'GLA Summary Tables'!I$8</f>
        <v>75.320328999999987</v>
      </c>
      <c r="E16" s="135">
        <f t="shared" si="1"/>
        <v>48.958213849999993</v>
      </c>
    </row>
    <row r="17" spans="1:5">
      <c r="A17" s="134" t="s">
        <v>113</v>
      </c>
      <c r="B17" s="136">
        <f>'GLA Summary Tables'!I11</f>
        <v>58.263931999999997</v>
      </c>
      <c r="C17" s="136">
        <f>'GLA Summary Tables'!I20</f>
        <v>7.474529000000004</v>
      </c>
      <c r="D17" s="135">
        <f>'GLA Summary Tables'!I$8</f>
        <v>75.320328999999987</v>
      </c>
      <c r="E17" s="135">
        <f t="shared" si="1"/>
        <v>48.958213849999993</v>
      </c>
    </row>
    <row r="18" spans="1:5">
      <c r="A18" s="134" t="s">
        <v>114</v>
      </c>
      <c r="B18" s="136">
        <v>0</v>
      </c>
      <c r="C18" s="136">
        <f>'GLA Summary Tables'!I22</f>
        <v>58.263931999999997</v>
      </c>
      <c r="D18" s="135">
        <f>'GLA Summary Tables'!I$8</f>
        <v>75.320328999999987</v>
      </c>
      <c r="E18" s="135">
        <f t="shared" si="1"/>
        <v>48.958213849999993</v>
      </c>
    </row>
    <row r="19" spans="1:5">
      <c r="A19" s="134"/>
      <c r="B19" s="133"/>
      <c r="C19" s="133"/>
      <c r="D19" s="135">
        <f>'GLA Summary Tables'!I$8</f>
        <v>75.320328999999987</v>
      </c>
      <c r="E19" s="135">
        <f t="shared" si="1"/>
        <v>48.958213849999993</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2.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3.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2023-05-22T15:52:43Z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