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8_{A277371F-FB2D-40AE-90EB-D692BE778922}" xr6:coauthVersionLast="47" xr6:coauthVersionMax="47" xr10:uidLastSave="{00000000-0000-0000-0000-000000000000}"/>
  <bookViews>
    <workbookView xWindow="780" yWindow="12852" windowWidth="22320" windowHeight="13176"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6" l="1"/>
  <c r="Q3" i="2"/>
  <c r="U61" i="2"/>
  <c r="S61" i="2"/>
  <c r="P61" i="2"/>
  <c r="U4" i="2"/>
  <c r="S4" i="2"/>
  <c r="P4" i="2"/>
  <c r="P63" i="2" l="1"/>
  <c r="L8" i="2" l="1"/>
  <c r="M8" i="2"/>
  <c r="N8" i="2"/>
  <c r="O8" i="2"/>
  <c r="P8" i="2" s="1"/>
  <c r="Q8" i="2"/>
  <c r="T8" i="2"/>
  <c r="L9" i="2"/>
  <c r="M9" i="2"/>
  <c r="N9" i="2"/>
  <c r="Q9" i="2"/>
  <c r="T9" i="2"/>
  <c r="L10" i="2"/>
  <c r="M10" i="2"/>
  <c r="N10" i="2"/>
  <c r="O10" i="2" s="1"/>
  <c r="Q10" i="2"/>
  <c r="R10" i="2" s="1"/>
  <c r="U10" i="2" s="1"/>
  <c r="T10" i="2"/>
  <c r="L11" i="2"/>
  <c r="M11" i="2"/>
  <c r="N11" i="2"/>
  <c r="O11" i="2" s="1"/>
  <c r="Q11" i="2"/>
  <c r="T11" i="2"/>
  <c r="L12" i="2"/>
  <c r="M12" i="2"/>
  <c r="O12" i="2" s="1"/>
  <c r="P12" i="2" s="1"/>
  <c r="N12" i="2"/>
  <c r="Q12" i="2"/>
  <c r="T12" i="2"/>
  <c r="L13" i="2"/>
  <c r="M13" i="2"/>
  <c r="N13" i="2"/>
  <c r="Q13" i="2"/>
  <c r="R13" i="2" s="1"/>
  <c r="T13" i="2"/>
  <c r="L14" i="2"/>
  <c r="M14" i="2"/>
  <c r="O14" i="2" s="1"/>
  <c r="N14" i="2"/>
  <c r="Q14" i="2"/>
  <c r="T14" i="2"/>
  <c r="L15" i="2"/>
  <c r="M15" i="2"/>
  <c r="R15" i="2" s="1"/>
  <c r="N15" i="2"/>
  <c r="Q15" i="2"/>
  <c r="T15" i="2"/>
  <c r="L16" i="2"/>
  <c r="M16" i="2"/>
  <c r="N16" i="2"/>
  <c r="Q16" i="2"/>
  <c r="R16" i="2" s="1"/>
  <c r="T16" i="2"/>
  <c r="L17" i="2"/>
  <c r="M17" i="2"/>
  <c r="N17" i="2"/>
  <c r="O17" i="2"/>
  <c r="P17" i="2" s="1"/>
  <c r="Q17" i="2"/>
  <c r="T17" i="2"/>
  <c r="L18" i="2"/>
  <c r="M18" i="2"/>
  <c r="N18" i="2"/>
  <c r="Q18" i="2"/>
  <c r="T18" i="2"/>
  <c r="L19" i="2"/>
  <c r="M19" i="2"/>
  <c r="N19" i="2"/>
  <c r="O19" i="2" s="1"/>
  <c r="Q19" i="2"/>
  <c r="T19" i="2"/>
  <c r="L20" i="2"/>
  <c r="M20" i="2"/>
  <c r="N20" i="2"/>
  <c r="Q20" i="2"/>
  <c r="T20" i="2"/>
  <c r="L21" i="2"/>
  <c r="M21" i="2"/>
  <c r="N21" i="2"/>
  <c r="O21" i="2" s="1"/>
  <c r="Q21" i="2"/>
  <c r="R21" i="2" s="1"/>
  <c r="T21" i="2"/>
  <c r="L22" i="2"/>
  <c r="M22" i="2"/>
  <c r="N22" i="2"/>
  <c r="Q22" i="2"/>
  <c r="T22" i="2"/>
  <c r="L23" i="2"/>
  <c r="M23" i="2"/>
  <c r="N23" i="2"/>
  <c r="Q23" i="2"/>
  <c r="R23" i="2"/>
  <c r="T23" i="2"/>
  <c r="L24" i="2"/>
  <c r="M24" i="2"/>
  <c r="N24" i="2"/>
  <c r="O24" i="2" s="1"/>
  <c r="P24" i="2" s="1"/>
  <c r="Q24" i="2"/>
  <c r="T24" i="2"/>
  <c r="L25" i="2"/>
  <c r="M25" i="2"/>
  <c r="O25" i="2" s="1"/>
  <c r="P25" i="2" s="1"/>
  <c r="N25" i="2"/>
  <c r="Q25" i="2"/>
  <c r="T25" i="2"/>
  <c r="L26" i="2"/>
  <c r="M26" i="2"/>
  <c r="N26" i="2"/>
  <c r="O26" i="2"/>
  <c r="P26" i="2"/>
  <c r="Q26" i="2"/>
  <c r="R26" i="2"/>
  <c r="S26" i="2"/>
  <c r="T26" i="2"/>
  <c r="U26" i="2"/>
  <c r="L27" i="2"/>
  <c r="M27" i="2"/>
  <c r="N27" i="2"/>
  <c r="O27" i="2" s="1"/>
  <c r="Q27" i="2"/>
  <c r="R27" i="2" s="1"/>
  <c r="U27" i="2" s="1"/>
  <c r="T27" i="2"/>
  <c r="L28" i="2"/>
  <c r="M28" i="2"/>
  <c r="N28" i="2"/>
  <c r="O28" i="2" s="1"/>
  <c r="Q28" i="2"/>
  <c r="R28" i="2"/>
  <c r="U28" i="2" s="1"/>
  <c r="T28" i="2"/>
  <c r="L29" i="2"/>
  <c r="M29" i="2"/>
  <c r="N29" i="2"/>
  <c r="O29" i="2" s="1"/>
  <c r="Q29" i="2"/>
  <c r="R29" i="2"/>
  <c r="T29" i="2"/>
  <c r="L30" i="2"/>
  <c r="M30" i="2"/>
  <c r="N30" i="2"/>
  <c r="O30" i="2"/>
  <c r="P30" i="2"/>
  <c r="Q30" i="2"/>
  <c r="R30" i="2"/>
  <c r="S30" i="2"/>
  <c r="T30" i="2"/>
  <c r="U30" i="2"/>
  <c r="L31" i="2"/>
  <c r="M31" i="2"/>
  <c r="N31" i="2"/>
  <c r="O31" i="2" s="1"/>
  <c r="Q31" i="2"/>
  <c r="R31" i="2"/>
  <c r="U31" i="2" s="1"/>
  <c r="T31" i="2"/>
  <c r="L32" i="2"/>
  <c r="M32" i="2"/>
  <c r="N32" i="2"/>
  <c r="O32" i="2" s="1"/>
  <c r="Q32" i="2"/>
  <c r="R32" i="2"/>
  <c r="U32" i="2" s="1"/>
  <c r="T32" i="2"/>
  <c r="L33" i="2"/>
  <c r="M33" i="2"/>
  <c r="N33" i="2"/>
  <c r="O33" i="2" s="1"/>
  <c r="Q33" i="2"/>
  <c r="R33" i="2"/>
  <c r="U33" i="2" s="1"/>
  <c r="T33" i="2"/>
  <c r="L34" i="2"/>
  <c r="P34" i="2" s="1"/>
  <c r="M34" i="2"/>
  <c r="N34" i="2"/>
  <c r="O34" i="2" s="1"/>
  <c r="Q34" i="2"/>
  <c r="R34" i="2"/>
  <c r="U34" i="2" s="1"/>
  <c r="T34" i="2"/>
  <c r="L35" i="2"/>
  <c r="M35" i="2"/>
  <c r="N35" i="2"/>
  <c r="O35" i="2" s="1"/>
  <c r="Q35" i="2"/>
  <c r="R35" i="2"/>
  <c r="U35" i="2" s="1"/>
  <c r="T35" i="2"/>
  <c r="L36" i="2"/>
  <c r="M36" i="2"/>
  <c r="N36" i="2"/>
  <c r="O36" i="2" s="1"/>
  <c r="Q36" i="2"/>
  <c r="R36" i="2"/>
  <c r="U36" i="2" s="1"/>
  <c r="T36" i="2"/>
  <c r="L37" i="2"/>
  <c r="M37" i="2"/>
  <c r="N37" i="2"/>
  <c r="O37" i="2" s="1"/>
  <c r="Q37" i="2"/>
  <c r="R37" i="2"/>
  <c r="U37" i="2" s="1"/>
  <c r="T37" i="2"/>
  <c r="L38" i="2"/>
  <c r="M38" i="2"/>
  <c r="N38" i="2"/>
  <c r="O38" i="2" s="1"/>
  <c r="Q38" i="2"/>
  <c r="R38" i="2"/>
  <c r="U38" i="2" s="1"/>
  <c r="T38" i="2"/>
  <c r="L39" i="2"/>
  <c r="M39" i="2"/>
  <c r="N39" i="2"/>
  <c r="O39" i="2" s="1"/>
  <c r="Q39" i="2"/>
  <c r="R39" i="2"/>
  <c r="U39" i="2" s="1"/>
  <c r="T39" i="2"/>
  <c r="L40" i="2"/>
  <c r="P40" i="2" s="1"/>
  <c r="M40" i="2"/>
  <c r="N40" i="2"/>
  <c r="O40" i="2" s="1"/>
  <c r="Q40" i="2"/>
  <c r="R40" i="2"/>
  <c r="U40" i="2" s="1"/>
  <c r="T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P21" i="2" l="1"/>
  <c r="P19" i="2"/>
  <c r="P10" i="2"/>
  <c r="R22" i="2"/>
  <c r="R20" i="2"/>
  <c r="R11" i="2"/>
  <c r="U11" i="2" s="1"/>
  <c r="U29" i="2"/>
  <c r="U15" i="2"/>
  <c r="S40" i="2"/>
  <c r="S34" i="2"/>
  <c r="R8" i="2"/>
  <c r="S8" i="2" s="1"/>
  <c r="R19" i="2"/>
  <c r="U19" i="2" s="1"/>
  <c r="S31" i="2"/>
  <c r="P31" i="2"/>
  <c r="S39" i="2"/>
  <c r="P39" i="2"/>
  <c r="S33" i="2"/>
  <c r="P33" i="2"/>
  <c r="S37" i="2"/>
  <c r="P37" i="2"/>
  <c r="S35" i="2"/>
  <c r="P35" i="2"/>
  <c r="S38" i="2"/>
  <c r="P38" i="2"/>
  <c r="P36" i="2"/>
  <c r="S36" i="2"/>
  <c r="P32" i="2"/>
  <c r="S32" i="2"/>
  <c r="S29" i="2"/>
  <c r="P29" i="2"/>
  <c r="S27" i="2"/>
  <c r="P27" i="2"/>
  <c r="P28" i="2"/>
  <c r="S28" i="2"/>
  <c r="R25" i="2"/>
  <c r="S25" i="2" s="1"/>
  <c r="U25" i="2"/>
  <c r="R24" i="2"/>
  <c r="U24" i="2"/>
  <c r="S24" i="2"/>
  <c r="O23" i="2"/>
  <c r="P23" i="2" s="1"/>
  <c r="U23" i="2"/>
  <c r="O22" i="2"/>
  <c r="P22" i="2" s="1"/>
  <c r="U22" i="2"/>
  <c r="U21" i="2"/>
  <c r="S21" i="2"/>
  <c r="O20" i="2"/>
  <c r="P20" i="2" s="1"/>
  <c r="U20" i="2"/>
  <c r="S20" i="2"/>
  <c r="R18" i="2"/>
  <c r="O18" i="2"/>
  <c r="P18" i="2" s="1"/>
  <c r="U18" i="2"/>
  <c r="S18" i="2"/>
  <c r="R17" i="2"/>
  <c r="U17" i="2"/>
  <c r="S17" i="2"/>
  <c r="O16" i="2"/>
  <c r="P16" i="2" s="1"/>
  <c r="U16" i="2"/>
  <c r="S16" i="2"/>
  <c r="O15" i="2"/>
  <c r="P15" i="2"/>
  <c r="R14" i="2"/>
  <c r="U14" i="2" s="1"/>
  <c r="P14" i="2"/>
  <c r="U13" i="2"/>
  <c r="O13" i="2"/>
  <c r="S13" i="2" s="1"/>
  <c r="R12" i="2"/>
  <c r="U12" i="2" s="1"/>
  <c r="S11" i="2"/>
  <c r="S10" i="2"/>
  <c r="R9" i="2"/>
  <c r="U9" i="2" s="1"/>
  <c r="O9" i="2"/>
  <c r="S9" i="2" s="1"/>
  <c r="U8" i="2"/>
  <c r="S15" i="2"/>
  <c r="P11" i="2"/>
  <c r="P9" i="2" l="1"/>
  <c r="P13" i="2"/>
  <c r="S19" i="2"/>
  <c r="S23" i="2"/>
  <c r="S22" i="2"/>
  <c r="S14" i="2"/>
  <c r="S12"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<sst xmlns="http://schemas.openxmlformats.org/spreadsheetml/2006/main" count="433" uniqueCount="285">
  <si>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</si>
  <si>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</si>
  <si>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</si>
  <si>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</si>
  <si>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</si>
  <si>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</si>
  <si>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</si>
  <si>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</si>
  <si>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</si>
  <si>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</si>
  <si>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</si>
  <si>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</si>
  <si>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</si>
  <si>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</si>
  <si>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</si>
  <si>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</si>
  <si>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</si>
  <si>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</si>
  <si>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</si>
  <si>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</si>
  <si>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</si>
  <si>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</si>
  <si>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</si>
  <si>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</si>
  <si>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</si>
  <si>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</si>
  <si>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</si>
  <si>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</si>
  <si>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</si>
  <si>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</si>
  <si>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</si>
  <si>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</si>
  <si>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</si>
  <si>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</si>
  <si>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</si>
  <si>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</si>
  <si>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</si>
  <si>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</si>
  <si>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</si>
  <si>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</si>
  <si>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</si>
  <si>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</si>
  <si>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</si>
  <si>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</si>
  <si>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</si>
  <si>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</si>
  <si>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</si>
  <si>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</si>
  <si>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</si>
  <si>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</si>
  <si>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</si>
  <si>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</si>
  <si>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</si>
  <si>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</si>
  <si>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</si>
  <si>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</si>
  <si>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</si>
  <si>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</si>
  <si>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</si>
  <si>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</si>
  <si>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</si>
  <si>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</si>
  <si>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</si>
  <si>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</si>
  <si>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</si>
  <si>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</si>
  <si>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</si>
  <si>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</si>
  <si>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</si>
  <si>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</si>
  <si>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</si>
  <si>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</si>
  <si>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</si>
  <si>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</si>
  <si>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</si>
  <si>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</si>
  <si>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</si>
  <si>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</si>
  <si>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</si>
  <si>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</si>
  <si>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</si>
  <si>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</si>
  <si>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</si>
  <si>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</si>
  <si>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</si>
  <si>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</si>
  <si>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</si>
  <si>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</si>
  <si>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</si>
  <si>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</si>
  <si>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</si>
  <si>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</si>
  <si>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</si>
  <si>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</si>
  <si>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</si>
  <si>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</si>
  <si>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</si>
  <si>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</si>
  <si>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</si>
  <si>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</si>
  <si>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</si>
  <si>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</si>
  <si>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</si>
  <si>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</si>
  <si>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</si>
  <si>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</si>
  <si>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</si>
  <si>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</si>
  <si>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</si>
  <si>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</si>
  <si>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</si>
  <si>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</si>
  <si>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</si>
  <si>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</si>
  <si>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</si>
  <si>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</si>
  <si>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</si>
  <si>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</si>
  <si>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</si>
  <si>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</si>
  <si>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</si>
  <si>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</si>
  <si>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</si>
  <si>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</si>
  <si>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</si>
  <si>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</si>
  <si>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</si>
  <si>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</si>
  <si>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</si>
  <si>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</si>
  <si>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</si>
  <si>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</si>
  <si>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</si>
  <si>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</si>
  <si>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</si>
  <si>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</si>
  <si>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</si>
  <si>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</si>
  <si>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</si>
  <si>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</si>
  <si>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</si>
  <si>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</si>
  <si>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</si>
  <si>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</si>
  <si>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</si>
  <si>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</si>
  <si>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</si>
  <si>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</si>
  <si>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</si>
  <si>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</si>
  <si>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</si>
  <si>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</si>
  <si>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</si>
  <si>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</si>
  <si>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</si>
  <si>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</si>
  <si>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</si>
  <si>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</si>
  <si>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</si>
  <si>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</si>
  <si>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</si>
  <si>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</si>
  <si>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</si>
  <si>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</si>
  <si>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</si>
  <si>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</si>
  <si>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</si>
  <si>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</si>
  <si>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</si>
  <si>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</si>
  <si>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</si>
  <si>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</si>
  <si>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</si>
  <si>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</si>
  <si>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</si>
  <si>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</si>
  <si>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</si>
  <si>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</si>
  <si>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</si>
  <si>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</si>
  <si>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</si>
  <si>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</si>
  <si>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</si>
  <si>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</si>
  <si>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</si>
  <si>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</si>
  <si>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</si>
  <si>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</si>
  <si>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</si>
  <si>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</si>
  <si>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</si>
  <si>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</si>
  <si>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</si>
  <si>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</si>
  <si>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</si>
  <si>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</si>
  <si>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</si>
  <si>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</si>
  <si>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</si>
  <si>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</si>
  <si>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</si>
  <si>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</si>
  <si>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</si>
  <si>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</si>
  <si>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</si>
  <si>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</si>
  <si>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</si>
  <si>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</si>
  <si>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</si>
  <si>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</si>
  <si>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</si>
  <si>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</si>
  <si>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</si>
  <si>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</si>
  <si>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</si>
  <si>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</si>
  <si>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</si>
  <si>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</si>
  <si>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</si>
  <si>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</si>
  <si>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</si>
  <si>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</si>
  <si>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</si>
  <si>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</si>
  <si>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</si>
  <si>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</si>
  <si>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</si>
  <si>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</si>
  <si>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</si>
  <si>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</si>
  <si>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</si>
  <si>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</si>
  <si>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</si>
  <si>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</si>
  <si>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</si>
  <si>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</si>
  <si>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</si>
  <si>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</si>
  <si>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</si>
  <si>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</si>
  <si>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</si>
  <si>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</si>
  <si>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</si>
  <si>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</si>
  <si>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</si>
  <si>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</si>
  <si>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</si>
  <si>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</si>
  <si>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</si>
  <si>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</si>
  <si>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</si>
  <si>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</si>
  <si>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</si>
  <si>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</si>
  <si>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</si>
  <si>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</si>
  <si>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</si>
  <si>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</si>
  <si>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</si>
  <si>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</si>
  <si>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Flat 101</t>
  </si>
  <si>
    <t>Flat 102</t>
  </si>
  <si>
    <t>Flat 103</t>
  </si>
  <si>
    <t>Flat 104</t>
  </si>
  <si>
    <t>Flat 105</t>
  </si>
  <si>
    <t>Flat 201</t>
  </si>
  <si>
    <t>Flat 202</t>
  </si>
  <si>
    <t>Flat 203</t>
  </si>
  <si>
    <t>Flat 204</t>
  </si>
  <si>
    <t>Flat 205</t>
  </si>
  <si>
    <t>Flat 301</t>
  </si>
  <si>
    <t>Flat 302</t>
  </si>
  <si>
    <t>Flat 303</t>
  </si>
  <si>
    <t>Flat 304</t>
  </si>
  <si>
    <t>Flat 305</t>
  </si>
  <si>
    <t>Flat 401</t>
  </si>
  <si>
    <t>Flat 402</t>
  </si>
  <si>
    <t>Flat 403</t>
  </si>
  <si>
    <t>Flat 501</t>
  </si>
  <si>
    <t>HH Flat 1 GF</t>
  </si>
  <si>
    <t>HH Flat 2 MF</t>
  </si>
  <si>
    <t>HH Flat 4 TF</t>
  </si>
  <si>
    <t xml:space="preserve">Flat 103 </t>
  </si>
  <si>
    <t>Flat 201 &amp; 301</t>
  </si>
  <si>
    <t>Flat 203 &amp; 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</si>
</sst>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4">
    <dxf>
      <fill>
        <patternFill>
          <bgColor rgb="FFC00000"/>
        </patternFill>
      </fill>
    </dxf>
    <dxf>
      <fill>
        <patternFill>
          <bgColor rgb="FF00B050"/>
        </patternFill>
      </fill>
    </dxf>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29.047375000000006</c:v>
                </c:pt>
                <c:pt idx="2">
                  <c:v>29.047375000000006</c:v>
                </c:pt>
                <c:pt idx="3">
                  <c:v>8.0614048</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5.4463088999999947</c:v>
                </c:pt>
                <c:pt idx="2">
                  <c:v>0</c:v>
                </c:pt>
                <c:pt idx="3">
                  <c:v>20.985970200000004</c:v>
                </c:pt>
                <c:pt idx="4">
                  <c:v>8.0614047999999983</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34.493683900000001</c:v>
                </c:pt>
                <c:pt idx="1">
                  <c:v>34.493683900000001</c:v>
                </c:pt>
                <c:pt idx="2">
                  <c:v>34.493683900000001</c:v>
                </c:pt>
                <c:pt idx="3">
                  <c:v>34.493683900000001</c:v>
                </c:pt>
                <c:pt idx="4">
                  <c:v>34.493683900000001</c:v>
                </c:pt>
                <c:pt idx="5">
                  <c:v>34.493683900000001</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22.420894535000002</c:v>
                </c:pt>
                <c:pt idx="1">
                  <c:v>22.420894535000002</c:v>
                </c:pt>
                <c:pt idx="2">
                  <c:v>22.420894535000002</c:v>
                </c:pt>
                <c:pt idx="3">
                  <c:v>22.420894535000002</c:v>
                </c:pt>
                <c:pt idx="4">
                  <c:v>22.420894535000002</c:v>
                </c:pt>
                <c:pt idx="5">
                  <c:v>22.420894535000002</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70" zoomScaleNormal="100" workbookViewId="0">
      <selection activeCell="A7" sqref="A7"/>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row>
    <row r="3" spans="1:6" ht="37.5" customHeight="1">
      <c r="A3" s="255" t="s">
        <v>161</v>
      </c>
      <c r="B3" s="255"/>
      <c r="C3" s="201"/>
    </row>
    <row r="4" spans="1:6" ht="37.5" customHeight="1">
      <c r="A4" s="255" t="s">
        <v>162</v>
      </c>
      <c r="B4" s="255"/>
      <c r="C4" s="201"/>
    </row>
    <row r="5" spans="1:6" ht="61.5" customHeight="1">
      <c r="A5" s="255" t="s">
        <v>163</v>
      </c>
      <c r="B5" s="255"/>
      <c r="C5" s="201"/>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c r="E9" s="208"/>
    </row>
    <row r="10" spans="1:6" ht="48">
      <c r="A10" s="249"/>
      <c r="B10" s="207" t="s">
        <v>4</v>
      </c>
      <c r="C10" s="207" t="s">
        <v>169</v>
      </c>
      <c r="D10" s="224"/>
      <c r="E10" s="208"/>
    </row>
    <row r="11" spans="1:6" ht="24">
      <c r="A11" s="249"/>
      <c r="B11" s="207" t="s">
        <v>170</v>
      </c>
      <c r="C11" s="207"/>
      <c r="D11" s="208"/>
      <c r="E11" s="208"/>
      <c r="F11" s="209"/>
    </row>
    <row r="12" spans="1:6" ht="25.5" customHeight="1">
      <c r="A12" s="249"/>
      <c r="B12" s="207" t="s">
        <v>171</v>
      </c>
      <c r="C12" s="207"/>
      <c r="D12" s="225"/>
      <c r="E12" s="208"/>
    </row>
    <row r="13" spans="1:6" ht="25.5" customHeight="1">
      <c r="A13" s="249"/>
      <c r="B13" s="207" t="s">
        <v>172</v>
      </c>
      <c r="C13" s="207"/>
      <c r="D13" s="224"/>
      <c r="E13" s="208"/>
    </row>
    <row r="14" spans="1:6" ht="24">
      <c r="A14" s="246" t="s">
        <v>173</v>
      </c>
      <c r="B14" s="207" t="s">
        <v>174</v>
      </c>
      <c r="C14" s="207"/>
      <c r="D14" s="208"/>
      <c r="E14" s="208"/>
    </row>
    <row r="15" spans="1:6" ht="24">
      <c r="A15" s="247"/>
      <c r="B15" s="207" t="s">
        <v>175</v>
      </c>
      <c r="C15" s="207"/>
      <c r="D15" s="208"/>
      <c r="E15" s="208"/>
    </row>
    <row r="16" spans="1:6" ht="24">
      <c r="A16" s="247"/>
      <c r="B16" s="207" t="s">
        <v>176</v>
      </c>
      <c r="C16" s="207"/>
      <c r="D16" s="208"/>
      <c r="E16" s="208"/>
    </row>
    <row r="17" spans="1:6" ht="24">
      <c r="A17" s="247"/>
      <c r="B17" s="207" t="s">
        <v>177</v>
      </c>
      <c r="C17" s="207"/>
      <c r="D17" s="208"/>
      <c r="E17" s="208"/>
    </row>
    <row r="18" spans="1:6" ht="14.65" customHeight="1">
      <c r="A18" s="247"/>
      <c r="B18" s="207" t="s">
        <v>178</v>
      </c>
      <c r="C18" s="207"/>
      <c r="D18" s="224"/>
      <c r="E18" s="208"/>
    </row>
    <row r="19" spans="1:6" ht="14.65" customHeight="1">
      <c r="A19" s="247"/>
      <c r="B19" s="207" t="s">
        <v>179</v>
      </c>
      <c r="C19" s="207"/>
      <c r="D19" s="224"/>
      <c r="E19" s="208"/>
    </row>
    <row r="20" spans="1:6" ht="14.65" customHeight="1">
      <c r="A20" s="248"/>
      <c r="B20" s="207" t="s">
        <v>180</v>
      </c>
      <c r="C20" s="207"/>
      <c r="D20" s="208"/>
      <c r="E20" s="208"/>
    </row>
    <row r="21" spans="1:6" ht="14.65" customHeight="1">
      <c r="A21" s="246" t="s">
        <v>181</v>
      </c>
      <c r="B21" s="210" t="s">
        <v>182</v>
      </c>
      <c r="C21" s="210"/>
      <c r="D21" s="208"/>
      <c r="E21" s="208"/>
    </row>
    <row r="22" spans="1:6" ht="24">
      <c r="A22" s="247"/>
      <c r="B22" s="210" t="s">
        <v>183</v>
      </c>
      <c r="C22" s="210"/>
      <c r="D22" s="208"/>
      <c r="E22" s="208"/>
    </row>
    <row r="23" spans="1:6" ht="14.65" customHeight="1">
      <c r="A23" s="247"/>
      <c r="B23" s="210" t="s">
        <v>184</v>
      </c>
      <c r="C23" s="210"/>
      <c r="D23" s="208"/>
      <c r="E23" s="208"/>
      <c r="F23" s="211"/>
    </row>
    <row r="24" spans="1:6" ht="14.65" customHeight="1">
      <c r="A24" s="248"/>
      <c r="B24" s="210" t="s">
        <v>185</v>
      </c>
      <c r="C24" s="210"/>
      <c r="D24" s="208"/>
      <c r="E24" s="208"/>
      <c r="F24" s="211"/>
    </row>
    <row r="25" spans="1:6" ht="24">
      <c r="A25" s="246" t="s">
        <v>186</v>
      </c>
      <c r="B25" s="207" t="s">
        <v>187</v>
      </c>
      <c r="C25" s="207"/>
      <c r="D25" s="208"/>
      <c r="E25" s="208"/>
    </row>
    <row r="26" spans="1:6">
      <c r="A26" s="247"/>
      <c r="B26" s="207" t="s">
        <v>188</v>
      </c>
      <c r="C26" s="207"/>
      <c r="D26" s="208"/>
      <c r="E26" s="208"/>
    </row>
    <row r="27" spans="1:6">
      <c r="A27" s="247"/>
      <c r="B27" s="207" t="s">
        <v>189</v>
      </c>
      <c r="C27" s="207"/>
      <c r="D27" s="208"/>
      <c r="E27" s="208"/>
    </row>
    <row r="28" spans="1:6" ht="13.5">
      <c r="A28" s="247"/>
      <c r="B28" s="207" t="s">
        <v>190</v>
      </c>
      <c r="C28" s="207"/>
      <c r="D28" s="224"/>
      <c r="E28" s="208"/>
    </row>
    <row r="29" spans="1:6" ht="48">
      <c r="A29" s="248"/>
      <c r="B29" s="207" t="s">
        <v>191</v>
      </c>
      <c r="C29" s="207" t="s">
        <v>192</v>
      </c>
      <c r="D29" s="208"/>
      <c r="E29" s="208"/>
    </row>
    <row r="30" spans="1:6" ht="24">
      <c r="A30" s="246" t="s">
        <v>193</v>
      </c>
      <c r="B30" s="207" t="s">
        <v>194</v>
      </c>
      <c r="C30" s="207" t="s">
        <v>195</v>
      </c>
      <c r="D30" s="208"/>
      <c r="E30" s="208"/>
      <c r="F30" s="212"/>
    </row>
    <row r="31" spans="1:6" ht="60">
      <c r="A31" s="247"/>
      <c r="B31" s="207" t="s">
        <v>196</v>
      </c>
      <c r="C31" s="207" t="s">
        <v>257</v>
      </c>
      <c r="D31" s="208"/>
      <c r="E31" s="208"/>
    </row>
    <row r="32" spans="1:6">
      <c r="A32" s="247"/>
      <c r="B32" s="207" t="s">
        <v>197</v>
      </c>
      <c r="C32" s="207"/>
      <c r="D32" s="208"/>
      <c r="E32" s="208"/>
    </row>
    <row r="33" spans="1:5">
      <c r="A33" s="247"/>
      <c r="B33" s="213" t="s">
        <v>198</v>
      </c>
      <c r="C33" s="207"/>
      <c r="D33" s="224"/>
      <c r="E33" s="208"/>
    </row>
    <row r="34" spans="1:5">
      <c r="A34" s="247"/>
      <c r="B34" s="213" t="s">
        <v>199</v>
      </c>
      <c r="C34" s="207"/>
      <c r="D34" s="224"/>
      <c r="E34" s="208"/>
    </row>
    <row r="35" spans="1:5">
      <c r="A35" s="248"/>
      <c r="B35" s="207" t="s">
        <v>200</v>
      </c>
      <c r="C35" s="207" t="s">
        <v>201</v>
      </c>
      <c r="D35" s="224"/>
      <c r="E35" s="208"/>
    </row>
    <row r="36" spans="1:5">
      <c r="A36" s="246" t="s">
        <v>202</v>
      </c>
      <c r="B36" s="207" t="s">
        <v>203</v>
      </c>
      <c r="C36" s="207"/>
      <c r="D36" s="208"/>
      <c r="E36" s="208"/>
    </row>
    <row r="37" spans="1:5">
      <c r="A37" s="247"/>
      <c r="B37" s="207" t="s">
        <v>204</v>
      </c>
      <c r="C37" s="207"/>
      <c r="D37" s="226"/>
      <c r="E37" s="208"/>
    </row>
    <row r="38" spans="1:5">
      <c r="A38" s="247"/>
      <c r="B38" s="207" t="s">
        <v>205</v>
      </c>
      <c r="C38" s="207"/>
      <c r="D38" s="224"/>
      <c r="E38" s="208"/>
    </row>
    <row r="39" spans="1:5">
      <c r="A39" s="247"/>
      <c r="B39" s="207" t="s">
        <v>206</v>
      </c>
      <c r="C39" s="207"/>
      <c r="D39" s="224"/>
      <c r="E39" s="208"/>
    </row>
    <row r="40" spans="1:5" ht="36">
      <c r="A40" s="247"/>
      <c r="B40" s="207" t="s">
        <v>207</v>
      </c>
      <c r="C40" s="207" t="s">
        <v>208</v>
      </c>
      <c r="D40" s="208"/>
      <c r="E40" s="208"/>
    </row>
    <row r="41" spans="1:5" ht="24">
      <c r="A41" s="247"/>
      <c r="B41" s="207" t="s">
        <v>209</v>
      </c>
      <c r="C41" s="207"/>
      <c r="D41" s="224"/>
      <c r="E41" s="208"/>
    </row>
    <row r="42" spans="1:5" ht="60">
      <c r="A42" s="247"/>
      <c r="B42" s="207" t="s">
        <v>210</v>
      </c>
      <c r="C42" s="213" t="s">
        <v>211</v>
      </c>
      <c r="D42" s="208"/>
      <c r="E42" s="208"/>
    </row>
    <row r="43" spans="1:5">
      <c r="A43" s="247"/>
      <c r="B43" s="207" t="s">
        <v>212</v>
      </c>
      <c r="C43" s="207"/>
      <c r="D43" s="224"/>
      <c r="E43" s="208"/>
    </row>
    <row r="44" spans="1:5">
      <c r="A44" s="247"/>
      <c r="B44" s="207" t="s">
        <v>213</v>
      </c>
      <c r="C44" s="207"/>
      <c r="D44" s="224"/>
      <c r="E44" s="208"/>
    </row>
    <row r="45" spans="1:5" ht="48">
      <c r="A45" s="248"/>
      <c r="B45" s="207" t="s">
        <v>214</v>
      </c>
      <c r="C45" s="207" t="s">
        <v>215</v>
      </c>
      <c r="D45" s="208"/>
      <c r="E45" s="208"/>
    </row>
    <row r="46" spans="1:5">
      <c r="A46" s="249" t="s">
        <v>216</v>
      </c>
      <c r="B46" s="207" t="s">
        <v>217</v>
      </c>
      <c r="C46" s="207"/>
      <c r="D46" s="208"/>
      <c r="E46" s="208"/>
    </row>
    <row r="47" spans="1:5" ht="36">
      <c r="A47" s="249"/>
      <c r="B47" s="207" t="s">
        <v>218</v>
      </c>
      <c r="C47" s="207"/>
      <c r="D47" s="208"/>
      <c r="E47" s="208"/>
    </row>
    <row r="48" spans="1:5">
      <c r="A48" s="249"/>
      <c r="B48" s="207" t="s">
        <v>219</v>
      </c>
      <c r="C48" s="207"/>
      <c r="D48" s="224"/>
      <c r="E48" s="208"/>
    </row>
    <row r="49" spans="1:5">
      <c r="A49" s="249"/>
      <c r="B49" s="207" t="s">
        <v>220</v>
      </c>
      <c r="C49" s="207"/>
      <c r="D49" s="224"/>
      <c r="E49" s="208"/>
    </row>
    <row r="50" spans="1:5" ht="13.5">
      <c r="A50" s="249"/>
      <c r="B50" s="207" t="s">
        <v>221</v>
      </c>
      <c r="C50" s="207"/>
      <c r="D50" s="224"/>
      <c r="E50" s="208"/>
    </row>
    <row r="51" spans="1:5">
      <c r="A51" s="249"/>
      <c r="B51" s="207" t="s">
        <v>222</v>
      </c>
      <c r="C51" s="207"/>
      <c r="D51" s="208"/>
      <c r="E51" s="208"/>
    </row>
    <row r="52" spans="1:5" ht="13.5">
      <c r="A52" s="249"/>
      <c r="B52" s="207" t="s">
        <v>223</v>
      </c>
      <c r="C52" s="207"/>
      <c r="D52" s="224"/>
      <c r="E52" s="208"/>
    </row>
    <row r="53" spans="1:5" ht="24">
      <c r="A53" s="246" t="s">
        <v>224</v>
      </c>
      <c r="B53" s="207" t="s">
        <v>225</v>
      </c>
      <c r="C53" s="207" t="s">
        <v>226</v>
      </c>
      <c r="D53" s="208"/>
      <c r="E53" s="208"/>
    </row>
    <row r="54" spans="1:5" ht="24">
      <c r="A54" s="247"/>
      <c r="B54" s="207" t="s">
        <v>227</v>
      </c>
      <c r="C54" s="207" t="s">
        <v>228</v>
      </c>
      <c r="D54" s="208"/>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72">
      <c r="A60" s="246" t="s">
        <v>235</v>
      </c>
      <c r="B60" s="207" t="s">
        <v>236</v>
      </c>
      <c r="C60" s="207" t="s">
        <v>237</v>
      </c>
      <c r="D60" s="208"/>
      <c r="E60" s="208"/>
    </row>
    <row r="61" spans="1:5" ht="20.25" customHeight="1">
      <c r="A61" s="247"/>
      <c r="B61" s="207" t="s">
        <v>238</v>
      </c>
      <c r="C61" s="207"/>
      <c r="D61" s="208"/>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
    <cfRule type="cellIs" dxfId="3" priority="3" operator="equal">
      <formula>"yes"</formula>
    </cfRule>
    <cfRule type="cellIs" dxfId="2" priority="4" operator="equal">
      <formula>"no"</formula>
    </cfRule>
  </conditionalFormatting>
  <conditionalFormatting sqref="C3: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25" zoomScaleNormal="100" workbookViewId="0">
      <selection activeCell="D55" sqref="D55"/>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260</v>
      </c>
      <c r="B7" s="110">
        <v>88</v>
      </c>
      <c r="C7" s="110">
        <v>1</v>
      </c>
      <c r="D7" s="110">
        <v>88</v>
      </c>
      <c r="E7" s="164">
        <v>14.67</v>
      </c>
      <c r="F7" s="165">
        <v>-112.88</v>
      </c>
      <c r="G7" s="166">
        <v>12.48</v>
      </c>
      <c r="H7" s="166">
        <v>12.48</v>
      </c>
      <c r="I7" s="166">
        <v>2.9</v>
      </c>
      <c r="J7" s="167">
        <v>43.28</v>
      </c>
      <c r="K7" s="167">
        <v>36.82</v>
      </c>
      <c r="L7" s="107">
        <f t="shared" ref="L7" si="0">IF($E7=0,"",D7*E7)</f>
        <v>1290.96</v>
      </c>
      <c r="M7" s="107">
        <f t="shared" ref="M7:M57" si="1">IF($F7=0,"",($F7/$B7)*$D7)</f>
        <v>-112.88</v>
      </c>
      <c r="N7" s="107">
        <f t="shared" ref="N7:N57" si="2">IF($G7=0,"",$D7*$G7)</f>
        <v>1098.24</v>
      </c>
      <c r="O7" s="108">
        <f>IF($G7=0,"",$N7+M7)</f>
        <v>985.36</v>
      </c>
      <c r="P7" s="108">
        <f>IF($G7=0,"",$L7-O7)</f>
        <v>305.60000000000002</v>
      </c>
      <c r="Q7" s="108">
        <f t="shared" ref="Q7:Q57" si="3">IF($H7=0,"",$D7*$H7)</f>
        <v>1098.24</v>
      </c>
      <c r="R7" s="108">
        <f>IF($H7=0,"",$Q7+$M7)</f>
        <v>985.36</v>
      </c>
      <c r="S7" s="108">
        <f>IF($H7=0,"",$O7-$R7)</f>
        <v>0</v>
      </c>
      <c r="T7" s="108">
        <f>IF($I7=0,"",$D7*$I7)</f>
        <v>255.2</v>
      </c>
      <c r="U7" s="175">
        <f>IF($H7=0,"",$R7-$T7)</f>
        <v>730.16000000000008</v>
      </c>
    </row>
    <row r="8" spans="1:21" ht="13.5" customHeight="1">
      <c r="A8" s="109" t="s">
        <v>261</v>
      </c>
      <c r="B8" s="110">
        <v>51.63</v>
      </c>
      <c r="C8" s="110">
        <v>1</v>
      </c>
      <c r="D8" s="110">
        <v>51.63</v>
      </c>
      <c r="E8" s="164">
        <v>18.010000000000002</v>
      </c>
      <c r="F8" s="168">
        <v>-55.25</v>
      </c>
      <c r="G8" s="166">
        <v>16.03</v>
      </c>
      <c r="H8" s="166">
        <v>16.03</v>
      </c>
      <c r="I8" s="166">
        <v>3.62</v>
      </c>
      <c r="J8" s="167">
        <v>44.41</v>
      </c>
      <c r="K8" s="167">
        <v>40.11</v>
      </c>
      <c r="L8" s="107">
        <f t="shared" ref="L8:L57" si="4">IF($E8=0,"",D8*E8)</f>
        <v>929.85630000000015</v>
      </c>
      <c r="M8" s="107">
        <f t="shared" si="1"/>
        <v>-55.25</v>
      </c>
      <c r="N8" s="107">
        <f t="shared" si="2"/>
        <v>827.62890000000004</v>
      </c>
      <c r="O8" s="108">
        <f t="shared" ref="O8:O57" si="5">IF($G8=0,"",$N8+M8)</f>
        <v>772.37890000000004</v>
      </c>
      <c r="P8" s="108">
        <f t="shared" ref="P8:P57" si="6">IF($G8=0,"",$L8-O8)</f>
        <v>157.4774000000001</v>
      </c>
      <c r="Q8" s="108">
        <f t="shared" si="3"/>
        <v>827.62890000000004</v>
      </c>
      <c r="R8" s="108">
        <f t="shared" ref="R8:R57" si="7">IF($H8=0,"",$Q8+$M8)</f>
        <v>772.37890000000004</v>
      </c>
      <c r="S8" s="108">
        <f t="shared" ref="S8:S57" si="8">IF($H8=0,"",$O8-$R8)</f>
        <v>0</v>
      </c>
      <c r="T8" s="108">
        <f t="shared" ref="T8:T57" si="9">IF($I8=0,"",$D8*$I8)</f>
        <v>186.90060000000003</v>
      </c>
      <c r="U8" s="175">
        <f t="shared" ref="U8:U57" si="10">IF($H8=0,"",$R8-$T8)</f>
        <v>585.47829999999999</v>
      </c>
    </row>
    <row r="9" spans="1:21" ht="13.5" customHeight="1">
      <c r="A9" s="109" t="s">
        <v>262</v>
      </c>
      <c r="B9" s="110">
        <v>51.63</v>
      </c>
      <c r="C9" s="110">
        <v>1</v>
      </c>
      <c r="D9" s="110">
        <v>51.63</v>
      </c>
      <c r="E9" s="164">
        <v>17.829999999999998</v>
      </c>
      <c r="F9" s="168">
        <v>-55.26</v>
      </c>
      <c r="G9" s="166">
        <v>15.89</v>
      </c>
      <c r="H9" s="166">
        <v>15.89</v>
      </c>
      <c r="I9" s="166">
        <v>3.59</v>
      </c>
      <c r="J9" s="167">
        <v>43.62</v>
      </c>
      <c r="K9" s="167">
        <v>39.39</v>
      </c>
      <c r="L9" s="107">
        <f t="shared" si="4"/>
        <v>920.56290000000001</v>
      </c>
      <c r="M9" s="107">
        <f t="shared" si="1"/>
        <v>-55.26</v>
      </c>
      <c r="N9" s="107">
        <f t="shared" si="2"/>
        <v>820.40070000000003</v>
      </c>
      <c r="O9" s="108">
        <f t="shared" si="5"/>
        <v>765.14070000000004</v>
      </c>
      <c r="P9" s="108">
        <f t="shared" si="6"/>
        <v>155.42219999999998</v>
      </c>
      <c r="Q9" s="108">
        <f t="shared" si="3"/>
        <v>820.40070000000003</v>
      </c>
      <c r="R9" s="108">
        <f t="shared" si="7"/>
        <v>765.14070000000004</v>
      </c>
      <c r="S9" s="108">
        <f t="shared" si="8"/>
        <v>0</v>
      </c>
      <c r="T9" s="108">
        <f t="shared" si="9"/>
        <v>185.35169999999999</v>
      </c>
      <c r="U9" s="175">
        <f t="shared" si="10"/>
        <v>579.78899999999999</v>
      </c>
    </row>
    <row r="10" spans="1:21" ht="13.5" customHeight="1">
      <c r="A10" s="109" t="s">
        <v>263</v>
      </c>
      <c r="B10" s="110">
        <v>52</v>
      </c>
      <c r="C10" s="110">
        <v>1</v>
      </c>
      <c r="D10" s="110">
        <v>52</v>
      </c>
      <c r="E10" s="164">
        <v>17.739999999999998</v>
      </c>
      <c r="F10" s="168">
        <v>-66.739999999999995</v>
      </c>
      <c r="G10" s="166">
        <v>16.25</v>
      </c>
      <c r="H10" s="166">
        <v>16.25</v>
      </c>
      <c r="I10" s="166">
        <v>3.67</v>
      </c>
      <c r="J10" s="167">
        <v>44.54</v>
      </c>
      <c r="K10" s="167">
        <v>41.22</v>
      </c>
      <c r="L10" s="107">
        <f t="shared" si="4"/>
        <v>922.4799999999999</v>
      </c>
      <c r="M10" s="107">
        <f t="shared" si="1"/>
        <v>-66.739999999999995</v>
      </c>
      <c r="N10" s="107">
        <f t="shared" si="2"/>
        <v>845</v>
      </c>
      <c r="O10" s="108">
        <f t="shared" si="5"/>
        <v>778.26</v>
      </c>
      <c r="P10" s="108">
        <f t="shared" si="6"/>
        <v>144.21999999999991</v>
      </c>
      <c r="Q10" s="108">
        <f t="shared" si="3"/>
        <v>845</v>
      </c>
      <c r="R10" s="108">
        <f t="shared" si="7"/>
        <v>778.26</v>
      </c>
      <c r="S10" s="108">
        <f t="shared" si="8"/>
        <v>0</v>
      </c>
      <c r="T10" s="108">
        <f t="shared" si="9"/>
        <v>190.84</v>
      </c>
      <c r="U10" s="175">
        <f t="shared" si="10"/>
        <v>587.41999999999996</v>
      </c>
    </row>
    <row r="11" spans="1:21" ht="13.5" customHeight="1">
      <c r="A11" s="109" t="s">
        <v>264</v>
      </c>
      <c r="B11" s="110">
        <v>52</v>
      </c>
      <c r="C11" s="110">
        <v>1</v>
      </c>
      <c r="D11" s="110">
        <v>52</v>
      </c>
      <c r="E11" s="164">
        <v>18.989999999999998</v>
      </c>
      <c r="F11" s="168">
        <v>-66.739999999999995</v>
      </c>
      <c r="G11" s="166">
        <v>17.12</v>
      </c>
      <c r="H11" s="166">
        <v>17.12</v>
      </c>
      <c r="I11" s="166">
        <v>3.84</v>
      </c>
      <c r="J11" s="167">
        <v>50.17</v>
      </c>
      <c r="K11" s="167">
        <v>45.29</v>
      </c>
      <c r="L11" s="107">
        <f t="shared" si="4"/>
        <v>987.4799999999999</v>
      </c>
      <c r="M11" s="107">
        <f t="shared" si="1"/>
        <v>-66.739999999999995</v>
      </c>
      <c r="N11" s="107">
        <f t="shared" si="2"/>
        <v>890.24</v>
      </c>
      <c r="O11" s="108">
        <f t="shared" si="5"/>
        <v>823.5</v>
      </c>
      <c r="P11" s="108">
        <f t="shared" si="6"/>
        <v>163.9799999999999</v>
      </c>
      <c r="Q11" s="108">
        <f t="shared" si="3"/>
        <v>890.24</v>
      </c>
      <c r="R11" s="108">
        <f t="shared" si="7"/>
        <v>823.5</v>
      </c>
      <c r="S11" s="108">
        <f t="shared" si="8"/>
        <v>0</v>
      </c>
      <c r="T11" s="108">
        <f t="shared" si="9"/>
        <v>199.68</v>
      </c>
      <c r="U11" s="175">
        <f t="shared" si="10"/>
        <v>623.81999999999994</v>
      </c>
    </row>
    <row r="12" spans="1:21" ht="13.5" customHeight="1">
      <c r="A12" s="109" t="s">
        <v>265</v>
      </c>
      <c r="B12" s="110">
        <v>88</v>
      </c>
      <c r="C12" s="110">
        <v>1</v>
      </c>
      <c r="D12" s="110">
        <v>88</v>
      </c>
      <c r="E12" s="164">
        <v>12.13</v>
      </c>
      <c r="F12" s="168">
        <v>-112.88</v>
      </c>
      <c r="G12" s="166">
        <v>10.72</v>
      </c>
      <c r="H12" s="166">
        <v>10.72</v>
      </c>
      <c r="I12" s="166">
        <v>2.56</v>
      </c>
      <c r="J12" s="167">
        <v>31.69</v>
      </c>
      <c r="K12" s="167">
        <v>29.24</v>
      </c>
      <c r="L12" s="107">
        <f t="shared" si="4"/>
        <v>1067.44</v>
      </c>
      <c r="M12" s="107">
        <f t="shared" si="1"/>
        <v>-112.88</v>
      </c>
      <c r="N12" s="107">
        <f t="shared" si="2"/>
        <v>943.36</v>
      </c>
      <c r="O12" s="108">
        <f t="shared" si="5"/>
        <v>830.48</v>
      </c>
      <c r="P12" s="108">
        <f t="shared" si="6"/>
        <v>236.96000000000004</v>
      </c>
      <c r="Q12" s="108">
        <f t="shared" si="3"/>
        <v>943.36</v>
      </c>
      <c r="R12" s="108">
        <f t="shared" si="7"/>
        <v>830.48</v>
      </c>
      <c r="S12" s="108">
        <f t="shared" si="8"/>
        <v>0</v>
      </c>
      <c r="T12" s="108">
        <f t="shared" si="9"/>
        <v>225.28</v>
      </c>
      <c r="U12" s="175">
        <f t="shared" si="10"/>
        <v>605.20000000000005</v>
      </c>
    </row>
    <row r="13" spans="1:21" ht="13.5" customHeight="1">
      <c r="A13" s="109" t="s">
        <v>266</v>
      </c>
      <c r="B13" s="110">
        <v>51.63</v>
      </c>
      <c r="C13" s="110">
        <v>1</v>
      </c>
      <c r="D13" s="110">
        <v>51.63</v>
      </c>
      <c r="E13" s="164">
        <v>15.27</v>
      </c>
      <c r="F13" s="168">
        <v>-55.26</v>
      </c>
      <c r="G13" s="166">
        <v>14.01</v>
      </c>
      <c r="H13" s="166">
        <v>14.01</v>
      </c>
      <c r="I13" s="166">
        <v>3.23</v>
      </c>
      <c r="J13" s="167">
        <v>32.01</v>
      </c>
      <c r="K13" s="167">
        <v>31.35</v>
      </c>
      <c r="L13" s="107">
        <f t="shared" si="4"/>
        <v>788.39009999999996</v>
      </c>
      <c r="M13" s="107">
        <f t="shared" si="1"/>
        <v>-55.26</v>
      </c>
      <c r="N13" s="107">
        <f t="shared" si="2"/>
        <v>723.33630000000005</v>
      </c>
      <c r="O13" s="108">
        <f t="shared" si="5"/>
        <v>668.07630000000006</v>
      </c>
      <c r="P13" s="108">
        <f t="shared" si="6"/>
        <v>120.3137999999999</v>
      </c>
      <c r="Q13" s="108">
        <f t="shared" si="3"/>
        <v>723.33630000000005</v>
      </c>
      <c r="R13" s="108">
        <f t="shared" si="7"/>
        <v>668.07630000000006</v>
      </c>
      <c r="S13" s="108">
        <f t="shared" si="8"/>
        <v>0</v>
      </c>
      <c r="T13" s="108">
        <f t="shared" si="9"/>
        <v>166.76490000000001</v>
      </c>
      <c r="U13" s="175">
        <f t="shared" si="10"/>
        <v>501.31140000000005</v>
      </c>
    </row>
    <row r="14" spans="1:21" ht="13.5" customHeight="1">
      <c r="A14" s="109" t="s">
        <v>267</v>
      </c>
      <c r="B14" s="110">
        <v>51.63</v>
      </c>
      <c r="C14" s="110">
        <v>1</v>
      </c>
      <c r="D14" s="110">
        <v>51.63</v>
      </c>
      <c r="E14" s="164">
        <v>15.09</v>
      </c>
      <c r="F14" s="168">
        <v>-55.26</v>
      </c>
      <c r="G14" s="166">
        <v>13.88</v>
      </c>
      <c r="H14" s="166">
        <v>13.88</v>
      </c>
      <c r="I14" s="166">
        <v>3.21</v>
      </c>
      <c r="J14" s="167">
        <v>31.23</v>
      </c>
      <c r="K14" s="167">
        <v>30.64</v>
      </c>
      <c r="L14" s="107">
        <f t="shared" si="4"/>
        <v>779.09670000000006</v>
      </c>
      <c r="M14" s="107">
        <f t="shared" si="1"/>
        <v>-55.26</v>
      </c>
      <c r="N14" s="107">
        <f t="shared" si="2"/>
        <v>716.62440000000004</v>
      </c>
      <c r="O14" s="108">
        <f t="shared" si="5"/>
        <v>661.36440000000005</v>
      </c>
      <c r="P14" s="108">
        <f t="shared" si="6"/>
        <v>117.73230000000001</v>
      </c>
      <c r="Q14" s="108">
        <f t="shared" si="3"/>
        <v>716.62440000000004</v>
      </c>
      <c r="R14" s="108">
        <f t="shared" si="7"/>
        <v>661.36440000000005</v>
      </c>
      <c r="S14" s="108">
        <f t="shared" si="8"/>
        <v>0</v>
      </c>
      <c r="T14" s="108">
        <f t="shared" si="9"/>
        <v>165.73230000000001</v>
      </c>
      <c r="U14" s="175">
        <f t="shared" si="10"/>
        <v>495.63210000000004</v>
      </c>
    </row>
    <row r="15" spans="1:21" ht="13.5" customHeight="1">
      <c r="A15" s="109" t="s">
        <v>268</v>
      </c>
      <c r="B15" s="110">
        <v>52</v>
      </c>
      <c r="C15" s="110">
        <v>1</v>
      </c>
      <c r="D15" s="110">
        <v>52</v>
      </c>
      <c r="E15" s="164">
        <v>17.739999999999998</v>
      </c>
      <c r="F15" s="168">
        <v>-66.739999999999995</v>
      </c>
      <c r="G15" s="166">
        <v>16.25</v>
      </c>
      <c r="H15" s="166">
        <v>16.25</v>
      </c>
      <c r="I15" s="166">
        <v>3.67</v>
      </c>
      <c r="J15" s="167">
        <v>44.54</v>
      </c>
      <c r="K15" s="167">
        <v>41.22</v>
      </c>
      <c r="L15" s="107">
        <f t="shared" si="4"/>
        <v>922.4799999999999</v>
      </c>
      <c r="M15" s="107">
        <f t="shared" si="1"/>
        <v>-66.739999999999995</v>
      </c>
      <c r="N15" s="107">
        <f t="shared" si="2"/>
        <v>845</v>
      </c>
      <c r="O15" s="108">
        <f t="shared" si="5"/>
        <v>778.26</v>
      </c>
      <c r="P15" s="108">
        <f t="shared" si="6"/>
        <v>144.21999999999991</v>
      </c>
      <c r="Q15" s="108">
        <f t="shared" si="3"/>
        <v>845</v>
      </c>
      <c r="R15" s="108">
        <f t="shared" si="7"/>
        <v>778.26</v>
      </c>
      <c r="S15" s="108">
        <f t="shared" si="8"/>
        <v>0</v>
      </c>
      <c r="T15" s="108">
        <f t="shared" si="9"/>
        <v>190.84</v>
      </c>
      <c r="U15" s="175">
        <f t="shared" si="10"/>
        <v>587.41999999999996</v>
      </c>
    </row>
    <row r="16" spans="1:21" ht="13.5" customHeight="1">
      <c r="A16" s="109" t="s">
        <v>269</v>
      </c>
      <c r="B16" s="110">
        <v>52</v>
      </c>
      <c r="C16" s="110">
        <v>1</v>
      </c>
      <c r="D16" s="110">
        <v>52</v>
      </c>
      <c r="E16" s="164">
        <v>16.13</v>
      </c>
      <c r="F16" s="168">
        <v>-66.739999999999995</v>
      </c>
      <c r="G16" s="166">
        <v>15.35</v>
      </c>
      <c r="H16" s="166">
        <v>15.35</v>
      </c>
      <c r="I16" s="166">
        <v>3.5</v>
      </c>
      <c r="J16" s="167">
        <v>37.14</v>
      </c>
      <c r="K16" s="167">
        <v>37.799999999999997</v>
      </c>
      <c r="L16" s="107">
        <f t="shared" si="4"/>
        <v>838.76</v>
      </c>
      <c r="M16" s="107">
        <f t="shared" si="1"/>
        <v>-66.739999999999995</v>
      </c>
      <c r="N16" s="107">
        <f t="shared" si="2"/>
        <v>798.19999999999993</v>
      </c>
      <c r="O16" s="108">
        <f t="shared" si="5"/>
        <v>731.45999999999992</v>
      </c>
      <c r="P16" s="108">
        <f t="shared" si="6"/>
        <v>107.30000000000007</v>
      </c>
      <c r="Q16" s="108">
        <f t="shared" si="3"/>
        <v>798.19999999999993</v>
      </c>
      <c r="R16" s="108">
        <f t="shared" si="7"/>
        <v>731.45999999999992</v>
      </c>
      <c r="S16" s="108">
        <f t="shared" si="8"/>
        <v>0</v>
      </c>
      <c r="T16" s="108">
        <f t="shared" si="9"/>
        <v>182</v>
      </c>
      <c r="U16" s="175">
        <f t="shared" si="10"/>
        <v>549.45999999999992</v>
      </c>
    </row>
    <row r="17" spans="1:21" ht="13.5" customHeight="1">
      <c r="A17" s="109" t="s">
        <v>270</v>
      </c>
      <c r="B17" s="110">
        <v>67</v>
      </c>
      <c r="C17" s="110">
        <v>1</v>
      </c>
      <c r="D17" s="110">
        <v>67</v>
      </c>
      <c r="E17" s="164">
        <v>16.420000000000002</v>
      </c>
      <c r="F17" s="168">
        <v>-143.04</v>
      </c>
      <c r="G17" s="166">
        <v>15.16</v>
      </c>
      <c r="H17" s="166">
        <v>15.16</v>
      </c>
      <c r="I17" s="166">
        <v>3.42</v>
      </c>
      <c r="J17" s="167">
        <v>46.76</v>
      </c>
      <c r="K17" s="167">
        <v>41.97</v>
      </c>
      <c r="L17" s="107">
        <f t="shared" si="4"/>
        <v>1100.1400000000001</v>
      </c>
      <c r="M17" s="107">
        <f t="shared" si="1"/>
        <v>-143.04</v>
      </c>
      <c r="N17" s="107">
        <f t="shared" si="2"/>
        <v>1015.72</v>
      </c>
      <c r="O17" s="108">
        <f t="shared" si="5"/>
        <v>872.68000000000006</v>
      </c>
      <c r="P17" s="108">
        <f t="shared" si="6"/>
        <v>227.46000000000004</v>
      </c>
      <c r="Q17" s="108">
        <f t="shared" si="3"/>
        <v>1015.72</v>
      </c>
      <c r="R17" s="108">
        <f t="shared" si="7"/>
        <v>872.68000000000006</v>
      </c>
      <c r="S17" s="108">
        <f t="shared" si="8"/>
        <v>0</v>
      </c>
      <c r="T17" s="108">
        <f t="shared" si="9"/>
        <v>229.14</v>
      </c>
      <c r="U17" s="175">
        <f t="shared" si="10"/>
        <v>643.54000000000008</v>
      </c>
    </row>
    <row r="18" spans="1:21" ht="13.5" customHeight="1">
      <c r="A18" s="109" t="s">
        <v>271</v>
      </c>
      <c r="B18" s="110">
        <v>51.63</v>
      </c>
      <c r="C18" s="110">
        <v>1</v>
      </c>
      <c r="D18" s="110">
        <v>51.63</v>
      </c>
      <c r="E18" s="164">
        <v>18.809999999999999</v>
      </c>
      <c r="F18" s="168">
        <v>-66.260000000000005</v>
      </c>
      <c r="G18" s="166">
        <v>16.79</v>
      </c>
      <c r="H18" s="166">
        <v>16.79</v>
      </c>
      <c r="I18" s="166">
        <v>3.8</v>
      </c>
      <c r="J18" s="167">
        <v>49.06</v>
      </c>
      <c r="K18" s="167">
        <v>43.81</v>
      </c>
      <c r="L18" s="107">
        <f t="shared" si="4"/>
        <v>971.16030000000001</v>
      </c>
      <c r="M18" s="107">
        <f t="shared" si="1"/>
        <v>-66.260000000000005</v>
      </c>
      <c r="N18" s="107">
        <f t="shared" si="2"/>
        <v>866.86770000000001</v>
      </c>
      <c r="O18" s="108">
        <f t="shared" si="5"/>
        <v>800.60770000000002</v>
      </c>
      <c r="P18" s="108">
        <f t="shared" si="6"/>
        <v>170.55259999999998</v>
      </c>
      <c r="Q18" s="108">
        <f t="shared" si="3"/>
        <v>866.86770000000001</v>
      </c>
      <c r="R18" s="108">
        <f t="shared" si="7"/>
        <v>800.60770000000002</v>
      </c>
      <c r="S18" s="108">
        <f t="shared" si="8"/>
        <v>0</v>
      </c>
      <c r="T18" s="108">
        <f t="shared" si="9"/>
        <v>196.19399999999999</v>
      </c>
      <c r="U18" s="175">
        <f t="shared" si="10"/>
        <v>604.41370000000006</v>
      </c>
    </row>
    <row r="19" spans="1:21" ht="13.5" customHeight="1">
      <c r="A19" s="109" t="s">
        <v>272</v>
      </c>
      <c r="B19" s="110">
        <v>51.63</v>
      </c>
      <c r="C19" s="110">
        <v>1</v>
      </c>
      <c r="D19" s="110">
        <v>51.63</v>
      </c>
      <c r="E19" s="164">
        <v>15.52</v>
      </c>
      <c r="F19" s="168">
        <v>-66.260000000000005</v>
      </c>
      <c r="G19" s="166">
        <v>14.24</v>
      </c>
      <c r="H19" s="166">
        <v>14.24</v>
      </c>
      <c r="I19" s="166">
        <v>3.31</v>
      </c>
      <c r="J19" s="167">
        <v>34.14</v>
      </c>
      <c r="K19" s="167">
        <v>33.380000000000003</v>
      </c>
      <c r="L19" s="107">
        <f t="shared" si="4"/>
        <v>801.29759999999999</v>
      </c>
      <c r="M19" s="107">
        <f t="shared" si="1"/>
        <v>-66.260000000000005</v>
      </c>
      <c r="N19" s="107">
        <f t="shared" si="2"/>
        <v>735.21120000000008</v>
      </c>
      <c r="O19" s="108">
        <f t="shared" si="5"/>
        <v>668.95120000000009</v>
      </c>
      <c r="P19" s="108">
        <f t="shared" si="6"/>
        <v>132.3463999999999</v>
      </c>
      <c r="Q19" s="108">
        <f t="shared" si="3"/>
        <v>735.21120000000008</v>
      </c>
      <c r="R19" s="108">
        <f t="shared" si="7"/>
        <v>668.95120000000009</v>
      </c>
      <c r="S19" s="108">
        <f t="shared" si="8"/>
        <v>0</v>
      </c>
      <c r="T19" s="108">
        <f t="shared" si="9"/>
        <v>170.89530000000002</v>
      </c>
      <c r="U19" s="175">
        <f t="shared" si="10"/>
        <v>498.05590000000007</v>
      </c>
    </row>
    <row r="20" spans="1:21" ht="13.5" customHeight="1">
      <c r="A20" s="109" t="s">
        <v>273</v>
      </c>
      <c r="B20" s="110">
        <v>52</v>
      </c>
      <c r="C20" s="110">
        <v>1</v>
      </c>
      <c r="D20" s="110">
        <v>52</v>
      </c>
      <c r="E20" s="164">
        <v>15.65</v>
      </c>
      <c r="F20" s="168">
        <v>-83.36</v>
      </c>
      <c r="G20" s="166">
        <v>14.95</v>
      </c>
      <c r="H20" s="166">
        <v>14.95</v>
      </c>
      <c r="I20" s="166">
        <v>3.45</v>
      </c>
      <c r="J20" s="167">
        <v>36.44</v>
      </c>
      <c r="K20" s="167">
        <v>36.78</v>
      </c>
      <c r="L20" s="107">
        <f t="shared" si="4"/>
        <v>813.80000000000007</v>
      </c>
      <c r="M20" s="107">
        <f t="shared" si="1"/>
        <v>-83.36</v>
      </c>
      <c r="N20" s="107">
        <f t="shared" si="2"/>
        <v>777.4</v>
      </c>
      <c r="O20" s="108">
        <f t="shared" si="5"/>
        <v>694.04</v>
      </c>
      <c r="P20" s="108">
        <f t="shared" si="6"/>
        <v>119.7600000000001</v>
      </c>
      <c r="Q20" s="108">
        <f t="shared" si="3"/>
        <v>777.4</v>
      </c>
      <c r="R20" s="108">
        <f t="shared" si="7"/>
        <v>694.04</v>
      </c>
      <c r="S20" s="108">
        <f t="shared" si="8"/>
        <v>0</v>
      </c>
      <c r="T20" s="108">
        <f t="shared" si="9"/>
        <v>179.4</v>
      </c>
      <c r="U20" s="175">
        <f t="shared" si="10"/>
        <v>514.64</v>
      </c>
    </row>
    <row r="21" spans="1:21" ht="13.5" customHeight="1">
      <c r="A21" s="109" t="s">
        <v>274</v>
      </c>
      <c r="B21" s="110">
        <v>52</v>
      </c>
      <c r="C21" s="110">
        <v>1</v>
      </c>
      <c r="D21" s="110">
        <v>52</v>
      </c>
      <c r="E21" s="164">
        <v>16.87</v>
      </c>
      <c r="F21" s="168">
        <v>-66.739999999999995</v>
      </c>
      <c r="G21" s="166">
        <v>15.79</v>
      </c>
      <c r="H21" s="166">
        <v>15.79</v>
      </c>
      <c r="I21" s="166">
        <v>3.61</v>
      </c>
      <c r="J21" s="167">
        <v>40.479999999999997</v>
      </c>
      <c r="K21" s="167">
        <v>40.78</v>
      </c>
      <c r="L21" s="107">
        <f t="shared" si="4"/>
        <v>877.24</v>
      </c>
      <c r="M21" s="107">
        <f t="shared" si="1"/>
        <v>-66.739999999999995</v>
      </c>
      <c r="N21" s="107">
        <f t="shared" si="2"/>
        <v>821.07999999999993</v>
      </c>
      <c r="O21" s="108">
        <f t="shared" si="5"/>
        <v>754.33999999999992</v>
      </c>
      <c r="P21" s="108">
        <f t="shared" si="6"/>
        <v>122.90000000000009</v>
      </c>
      <c r="Q21" s="108">
        <f t="shared" si="3"/>
        <v>821.07999999999993</v>
      </c>
      <c r="R21" s="108">
        <f t="shared" si="7"/>
        <v>754.33999999999992</v>
      </c>
      <c r="S21" s="108">
        <f t="shared" si="8"/>
        <v>0</v>
      </c>
      <c r="T21" s="108">
        <f t="shared" si="9"/>
        <v>187.72</v>
      </c>
      <c r="U21" s="175">
        <f t="shared" si="10"/>
        <v>566.61999999999989</v>
      </c>
    </row>
    <row r="22" spans="1:21" ht="13.5" customHeight="1">
      <c r="A22" s="109" t="s">
        <v>275</v>
      </c>
      <c r="B22" s="110">
        <v>50</v>
      </c>
      <c r="C22" s="110">
        <v>1</v>
      </c>
      <c r="D22" s="110">
        <v>50</v>
      </c>
      <c r="E22" s="164">
        <v>16.899999999999999</v>
      </c>
      <c r="F22" s="168">
        <v>-64.17</v>
      </c>
      <c r="G22" s="166">
        <v>16.62</v>
      </c>
      <c r="H22" s="166">
        <v>16.62</v>
      </c>
      <c r="I22" s="166">
        <v>3.78</v>
      </c>
      <c r="J22" s="167">
        <v>39.520000000000003</v>
      </c>
      <c r="K22" s="167">
        <v>43.84</v>
      </c>
      <c r="L22" s="107">
        <f t="shared" si="4"/>
        <v>844.99999999999989</v>
      </c>
      <c r="M22" s="107">
        <f t="shared" si="1"/>
        <v>-64.17</v>
      </c>
      <c r="N22" s="107">
        <f t="shared" si="2"/>
        <v>831</v>
      </c>
      <c r="O22" s="108">
        <f t="shared" si="5"/>
        <v>766.83</v>
      </c>
      <c r="P22" s="108">
        <f t="shared" si="6"/>
        <v>78.169999999999845</v>
      </c>
      <c r="Q22" s="108">
        <f t="shared" si="3"/>
        <v>831</v>
      </c>
      <c r="R22" s="108">
        <f t="shared" si="7"/>
        <v>766.83</v>
      </c>
      <c r="S22" s="108">
        <f t="shared" si="8"/>
        <v>0</v>
      </c>
      <c r="T22" s="108">
        <f t="shared" si="9"/>
        <v>189</v>
      </c>
      <c r="U22" s="175">
        <f t="shared" si="10"/>
        <v>577.83000000000004</v>
      </c>
    </row>
    <row r="23" spans="1:21" ht="13.5" customHeight="1">
      <c r="A23" s="109" t="s">
        <v>276</v>
      </c>
      <c r="B23" s="110">
        <v>52</v>
      </c>
      <c r="C23" s="110">
        <v>1</v>
      </c>
      <c r="D23" s="110">
        <v>52</v>
      </c>
      <c r="E23" s="164">
        <v>17.510000000000002</v>
      </c>
      <c r="F23" s="168">
        <v>-83.36</v>
      </c>
      <c r="G23" s="166">
        <v>16.420000000000002</v>
      </c>
      <c r="H23" s="166">
        <v>16.420000000000002</v>
      </c>
      <c r="I23" s="166">
        <v>3.69</v>
      </c>
      <c r="J23" s="167">
        <v>44.98</v>
      </c>
      <c r="K23" s="167">
        <v>40.96</v>
      </c>
      <c r="L23" s="107">
        <f t="shared" si="4"/>
        <v>910.5200000000001</v>
      </c>
      <c r="M23" s="107">
        <f t="shared" si="1"/>
        <v>-83.36</v>
      </c>
      <c r="N23" s="107">
        <f t="shared" si="2"/>
        <v>853.84000000000015</v>
      </c>
      <c r="O23" s="108">
        <f t="shared" si="5"/>
        <v>770.48000000000013</v>
      </c>
      <c r="P23" s="108">
        <f t="shared" si="6"/>
        <v>140.03999999999996</v>
      </c>
      <c r="Q23" s="108">
        <f t="shared" si="3"/>
        <v>853.84000000000015</v>
      </c>
      <c r="R23" s="108">
        <f t="shared" si="7"/>
        <v>770.48000000000013</v>
      </c>
      <c r="S23" s="108">
        <f t="shared" si="8"/>
        <v>0</v>
      </c>
      <c r="T23" s="108">
        <f t="shared" si="9"/>
        <v>191.88</v>
      </c>
      <c r="U23" s="175">
        <f t="shared" si="10"/>
        <v>578.60000000000014</v>
      </c>
    </row>
    <row r="24" spans="1:21" ht="13.5" customHeight="1">
      <c r="A24" s="109" t="s">
        <v>277</v>
      </c>
      <c r="B24" s="110">
        <v>52</v>
      </c>
      <c r="C24" s="110">
        <v>1</v>
      </c>
      <c r="D24" s="110">
        <v>52</v>
      </c>
      <c r="E24" s="164">
        <v>19.600000000000001</v>
      </c>
      <c r="F24" s="168">
        <v>-83.36</v>
      </c>
      <c r="G24" s="166">
        <v>18</v>
      </c>
      <c r="H24" s="166">
        <v>18</v>
      </c>
      <c r="I24" s="166">
        <v>4</v>
      </c>
      <c r="J24" s="167">
        <v>54.42</v>
      </c>
      <c r="K24" s="167">
        <v>48.23</v>
      </c>
      <c r="L24" s="107">
        <f t="shared" si="4"/>
        <v>1019.2</v>
      </c>
      <c r="M24" s="107">
        <f t="shared" si="1"/>
        <v>-83.36</v>
      </c>
      <c r="N24" s="107">
        <f t="shared" si="2"/>
        <v>936</v>
      </c>
      <c r="O24" s="108">
        <f t="shared" si="5"/>
        <v>852.64</v>
      </c>
      <c r="P24" s="108">
        <f t="shared" si="6"/>
        <v>166.56000000000006</v>
      </c>
      <c r="Q24" s="108">
        <f t="shared" si="3"/>
        <v>936</v>
      </c>
      <c r="R24" s="108">
        <f t="shared" si="7"/>
        <v>852.64</v>
      </c>
      <c r="S24" s="108">
        <f t="shared" si="8"/>
        <v>0</v>
      </c>
      <c r="T24" s="108">
        <f t="shared" si="9"/>
        <v>208</v>
      </c>
      <c r="U24" s="175">
        <f t="shared" si="10"/>
        <v>644.64</v>
      </c>
    </row>
    <row r="25" spans="1:21" ht="13.5" customHeight="1">
      <c r="A25" s="109" t="s">
        <v>278</v>
      </c>
      <c r="B25" s="110">
        <v>50</v>
      </c>
      <c r="C25" s="110">
        <v>1</v>
      </c>
      <c r="D25" s="110">
        <v>50</v>
      </c>
      <c r="E25" s="164">
        <v>20.65</v>
      </c>
      <c r="F25" s="168">
        <v>-64.17</v>
      </c>
      <c r="G25" s="166">
        <v>19.55</v>
      </c>
      <c r="H25" s="166">
        <v>19.55</v>
      </c>
      <c r="I25" s="166">
        <v>4.32</v>
      </c>
      <c r="J25" s="167">
        <v>56.55</v>
      </c>
      <c r="K25" s="167">
        <v>54.71</v>
      </c>
      <c r="L25" s="107">
        <f t="shared" si="4"/>
        <v>1032.5</v>
      </c>
      <c r="M25" s="107">
        <f t="shared" si="1"/>
        <v>-64.17</v>
      </c>
      <c r="N25" s="107">
        <f t="shared" si="2"/>
        <v>977.5</v>
      </c>
      <c r="O25" s="108">
        <f t="shared" si="5"/>
        <v>913.33</v>
      </c>
      <c r="P25" s="108">
        <f t="shared" si="6"/>
        <v>119.16999999999996</v>
      </c>
      <c r="Q25" s="108">
        <f t="shared" si="3"/>
        <v>977.5</v>
      </c>
      <c r="R25" s="108">
        <f t="shared" si="7"/>
        <v>913.33</v>
      </c>
      <c r="S25" s="108">
        <f t="shared" si="8"/>
        <v>0</v>
      </c>
      <c r="T25" s="108">
        <f t="shared" si="9"/>
        <v>216</v>
      </c>
      <c r="U25" s="175">
        <f t="shared" si="10"/>
        <v>697.33</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t="s">
        <v>279</v>
      </c>
      <c r="B27" s="110">
        <v>50</v>
      </c>
      <c r="C27" s="110">
        <v>1</v>
      </c>
      <c r="D27" s="110">
        <v>50</v>
      </c>
      <c r="E27" s="164">
        <v>19.559999999999999</v>
      </c>
      <c r="F27" s="165">
        <v>-64.17</v>
      </c>
      <c r="G27" s="166">
        <v>18.649999999999999</v>
      </c>
      <c r="H27" s="166">
        <v>18.649999999999999</v>
      </c>
      <c r="I27" s="166">
        <v>7.73</v>
      </c>
      <c r="J27" s="167">
        <v>56.61</v>
      </c>
      <c r="K27" s="167">
        <v>55.62</v>
      </c>
      <c r="L27" s="107">
        <f t="shared" si="4"/>
        <v>977.99999999999989</v>
      </c>
      <c r="M27" s="107">
        <f t="shared" si="1"/>
        <v>-64.17</v>
      </c>
      <c r="N27" s="107">
        <f t="shared" si="2"/>
        <v>932.49999999999989</v>
      </c>
      <c r="O27" s="108">
        <f t="shared" si="5"/>
        <v>868.32999999999993</v>
      </c>
      <c r="P27" s="108">
        <f t="shared" si="6"/>
        <v>109.66999999999996</v>
      </c>
      <c r="Q27" s="108">
        <f t="shared" si="3"/>
        <v>932.49999999999989</v>
      </c>
      <c r="R27" s="108">
        <f t="shared" si="7"/>
        <v>868.32999999999993</v>
      </c>
      <c r="S27" s="108">
        <f t="shared" si="8"/>
        <v>0</v>
      </c>
      <c r="T27" s="108">
        <f t="shared" si="9"/>
        <v>386.5</v>
      </c>
      <c r="U27" s="175">
        <f t="shared" si="10"/>
        <v>481.82999999999993</v>
      </c>
    </row>
    <row r="28" spans="1:21" ht="13.5" customHeight="1">
      <c r="A28" s="109" t="s">
        <v>280</v>
      </c>
      <c r="B28" s="110">
        <v>60</v>
      </c>
      <c r="C28" s="110">
        <v>2</v>
      </c>
      <c r="D28" s="110">
        <v>120</v>
      </c>
      <c r="E28" s="164">
        <v>15.39</v>
      </c>
      <c r="F28" s="168">
        <v>-76.996099999999998</v>
      </c>
      <c r="G28" s="166">
        <v>14.45</v>
      </c>
      <c r="H28" s="166">
        <v>14.45</v>
      </c>
      <c r="I28" s="166">
        <v>6.1</v>
      </c>
      <c r="J28" s="167">
        <v>40.44</v>
      </c>
      <c r="K28" s="167">
        <v>39.94</v>
      </c>
      <c r="L28" s="107">
        <f t="shared" si="4"/>
        <v>1846.8000000000002</v>
      </c>
      <c r="M28" s="107">
        <f t="shared" si="1"/>
        <v>-153.9922</v>
      </c>
      <c r="N28" s="107">
        <f t="shared" si="2"/>
        <v>1734</v>
      </c>
      <c r="O28" s="108">
        <f t="shared" si="5"/>
        <v>1580.0078000000001</v>
      </c>
      <c r="P28" s="108">
        <f t="shared" si="6"/>
        <v>266.79220000000009</v>
      </c>
      <c r="Q28" s="108">
        <f t="shared" si="3"/>
        <v>1734</v>
      </c>
      <c r="R28" s="108">
        <f t="shared" si="7"/>
        <v>1580.0078000000001</v>
      </c>
      <c r="S28" s="108">
        <f t="shared" si="8"/>
        <v>0</v>
      </c>
      <c r="T28" s="108">
        <f t="shared" si="9"/>
        <v>732</v>
      </c>
      <c r="U28" s="175">
        <f t="shared" si="10"/>
        <v>848.00780000000009</v>
      </c>
    </row>
    <row r="29" spans="1:21" ht="13.5" customHeight="1">
      <c r="A29" s="109" t="s">
        <v>281</v>
      </c>
      <c r="B29" s="110">
        <v>126.4</v>
      </c>
      <c r="C29" s="110">
        <v>1</v>
      </c>
      <c r="D29" s="110">
        <v>126.4</v>
      </c>
      <c r="E29" s="164">
        <v>13.3</v>
      </c>
      <c r="F29" s="168">
        <v>-162.04</v>
      </c>
      <c r="G29" s="166">
        <v>10.72</v>
      </c>
      <c r="H29" s="166">
        <v>10.72</v>
      </c>
      <c r="I29" s="166">
        <v>4.74</v>
      </c>
      <c r="J29" s="167">
        <v>49.71</v>
      </c>
      <c r="K29" s="167">
        <v>46.47</v>
      </c>
      <c r="L29" s="107">
        <f t="shared" si="4"/>
        <v>1681.1200000000001</v>
      </c>
      <c r="M29" s="107">
        <f t="shared" si="1"/>
        <v>-162.04</v>
      </c>
      <c r="N29" s="107">
        <f t="shared" si="2"/>
        <v>1355.008</v>
      </c>
      <c r="O29" s="108">
        <f t="shared" si="5"/>
        <v>1192.9680000000001</v>
      </c>
      <c r="P29" s="108">
        <f t="shared" si="6"/>
        <v>488.15200000000004</v>
      </c>
      <c r="Q29" s="108">
        <f t="shared" si="3"/>
        <v>1355.008</v>
      </c>
      <c r="R29" s="108">
        <f t="shared" si="7"/>
        <v>1192.9680000000001</v>
      </c>
      <c r="S29" s="108">
        <f t="shared" si="8"/>
        <v>0</v>
      </c>
      <c r="T29" s="108">
        <f t="shared" si="9"/>
        <v>599.13600000000008</v>
      </c>
      <c r="U29" s="175">
        <f t="shared" si="10"/>
        <v>593.83199999999999</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t="s">
        <v>260</v>
      </c>
      <c r="B31" s="110">
        <v>61</v>
      </c>
      <c r="C31" s="110">
        <v>1</v>
      </c>
      <c r="D31" s="110">
        <v>61</v>
      </c>
      <c r="E31" s="164">
        <v>17.36</v>
      </c>
      <c r="F31" s="165">
        <v>-65.27</v>
      </c>
      <c r="G31" s="166">
        <v>15.91</v>
      </c>
      <c r="H31" s="166">
        <v>15.91</v>
      </c>
      <c r="I31" s="166">
        <v>3.56</v>
      </c>
      <c r="J31" s="167">
        <v>46.93</v>
      </c>
      <c r="K31" s="167">
        <v>42.99</v>
      </c>
      <c r="L31" s="107">
        <f t="shared" si="4"/>
        <v>1058.96</v>
      </c>
      <c r="M31" s="107">
        <f t="shared" si="1"/>
        <v>-65.27</v>
      </c>
      <c r="N31" s="107">
        <f t="shared" si="2"/>
        <v>970.51</v>
      </c>
      <c r="O31" s="108">
        <f t="shared" si="5"/>
        <v>905.24</v>
      </c>
      <c r="P31" s="108">
        <f t="shared" si="6"/>
        <v>153.72000000000003</v>
      </c>
      <c r="Q31" s="108">
        <f t="shared" si="3"/>
        <v>970.51</v>
      </c>
      <c r="R31" s="108">
        <f t="shared" si="7"/>
        <v>905.24</v>
      </c>
      <c r="S31" s="108">
        <f t="shared" si="8"/>
        <v>0</v>
      </c>
      <c r="T31" s="108">
        <f t="shared" si="9"/>
        <v>217.16</v>
      </c>
      <c r="U31" s="175">
        <f t="shared" si="10"/>
        <v>688.08</v>
      </c>
    </row>
    <row r="32" spans="1:21" ht="13.5" customHeight="1">
      <c r="A32" s="109" t="s">
        <v>261</v>
      </c>
      <c r="B32" s="110">
        <v>52</v>
      </c>
      <c r="C32" s="110">
        <v>1</v>
      </c>
      <c r="D32" s="110">
        <v>52</v>
      </c>
      <c r="E32" s="164">
        <v>18.32</v>
      </c>
      <c r="F32" s="168">
        <v>-66.739999999999995</v>
      </c>
      <c r="G32" s="166">
        <v>16.86</v>
      </c>
      <c r="H32" s="166">
        <v>16.86</v>
      </c>
      <c r="I32" s="166">
        <v>3.72</v>
      </c>
      <c r="J32" s="167">
        <v>47.18</v>
      </c>
      <c r="K32" s="167">
        <v>42.84</v>
      </c>
      <c r="L32" s="107">
        <f t="shared" si="4"/>
        <v>952.64</v>
      </c>
      <c r="M32" s="107">
        <f t="shared" si="1"/>
        <v>-66.739999999999995</v>
      </c>
      <c r="N32" s="107">
        <f t="shared" si="2"/>
        <v>876.72</v>
      </c>
      <c r="O32" s="108">
        <f t="shared" si="5"/>
        <v>809.98</v>
      </c>
      <c r="P32" s="108">
        <f t="shared" si="6"/>
        <v>142.65999999999997</v>
      </c>
      <c r="Q32" s="108">
        <f t="shared" si="3"/>
        <v>876.72</v>
      </c>
      <c r="R32" s="108">
        <f t="shared" si="7"/>
        <v>809.98</v>
      </c>
      <c r="S32" s="108">
        <f t="shared" si="8"/>
        <v>0</v>
      </c>
      <c r="T32" s="108">
        <f t="shared" si="9"/>
        <v>193.44</v>
      </c>
      <c r="U32" s="175">
        <f t="shared" si="10"/>
        <v>616.54</v>
      </c>
    </row>
    <row r="33" spans="1:21" ht="13.5" customHeight="1">
      <c r="A33" s="109" t="s">
        <v>282</v>
      </c>
      <c r="B33" s="110">
        <v>73</v>
      </c>
      <c r="C33" s="110">
        <v>1</v>
      </c>
      <c r="D33" s="110">
        <v>73</v>
      </c>
      <c r="E33" s="164">
        <v>15.98</v>
      </c>
      <c r="F33" s="168">
        <v>-78.099999999999994</v>
      </c>
      <c r="G33" s="166">
        <v>14.41</v>
      </c>
      <c r="H33" s="166">
        <v>14.41</v>
      </c>
      <c r="I33" s="166">
        <v>3.33</v>
      </c>
      <c r="J33" s="167">
        <v>44.5</v>
      </c>
      <c r="K33" s="167">
        <v>40.700000000000003</v>
      </c>
      <c r="L33" s="107">
        <f t="shared" si="4"/>
        <v>1166.54</v>
      </c>
      <c r="M33" s="107">
        <f t="shared" si="1"/>
        <v>-78.099999999999994</v>
      </c>
      <c r="N33" s="107">
        <f t="shared" si="2"/>
        <v>1051.93</v>
      </c>
      <c r="O33" s="108">
        <f t="shared" si="5"/>
        <v>973.83</v>
      </c>
      <c r="P33" s="108">
        <f t="shared" si="6"/>
        <v>192.70999999999992</v>
      </c>
      <c r="Q33" s="108">
        <f t="shared" si="3"/>
        <v>1051.93</v>
      </c>
      <c r="R33" s="108">
        <f t="shared" si="7"/>
        <v>973.83</v>
      </c>
      <c r="S33" s="108">
        <f t="shared" si="8"/>
        <v>0</v>
      </c>
      <c r="T33" s="108">
        <f t="shared" si="9"/>
        <v>243.09</v>
      </c>
      <c r="U33" s="175">
        <f t="shared" si="10"/>
        <v>730.74</v>
      </c>
    </row>
    <row r="34" spans="1:21" ht="13.5" customHeight="1">
      <c r="A34" s="109" t="s">
        <v>283</v>
      </c>
      <c r="B34" s="110">
        <v>61</v>
      </c>
      <c r="C34" s="110">
        <v>2</v>
      </c>
      <c r="D34" s="110">
        <v>122</v>
      </c>
      <c r="E34" s="164">
        <v>13.79</v>
      </c>
      <c r="F34" s="168">
        <v>-78.28</v>
      </c>
      <c r="G34" s="166">
        <v>13.75</v>
      </c>
      <c r="H34" s="166">
        <v>13.75</v>
      </c>
      <c r="I34" s="166">
        <v>3.07</v>
      </c>
      <c r="J34" s="167">
        <v>32.590000000000003</v>
      </c>
      <c r="K34" s="167">
        <v>33.409999999999997</v>
      </c>
      <c r="L34" s="107">
        <f t="shared" si="4"/>
        <v>1682.3799999999999</v>
      </c>
      <c r="M34" s="107">
        <f t="shared" si="1"/>
        <v>-156.56</v>
      </c>
      <c r="N34" s="107">
        <f t="shared" si="2"/>
        <v>1677.5</v>
      </c>
      <c r="O34" s="108">
        <f t="shared" si="5"/>
        <v>1520.94</v>
      </c>
      <c r="P34" s="108">
        <f t="shared" si="6"/>
        <v>161.43999999999983</v>
      </c>
      <c r="Q34" s="108">
        <f t="shared" si="3"/>
        <v>1677.5</v>
      </c>
      <c r="R34" s="108">
        <f t="shared" si="7"/>
        <v>1520.94</v>
      </c>
      <c r="S34" s="108">
        <f t="shared" si="8"/>
        <v>0</v>
      </c>
      <c r="T34" s="108">
        <f t="shared" si="9"/>
        <v>374.53999999999996</v>
      </c>
      <c r="U34" s="175">
        <f t="shared" si="10"/>
        <v>1146.4000000000001</v>
      </c>
    </row>
    <row r="35" spans="1:21" ht="13.5" customHeight="1">
      <c r="A35" s="109" t="s">
        <v>266</v>
      </c>
      <c r="B35" s="110">
        <v>52</v>
      </c>
      <c r="C35" s="110">
        <v>1</v>
      </c>
      <c r="D35" s="110">
        <v>52</v>
      </c>
      <c r="E35" s="164">
        <v>14.85</v>
      </c>
      <c r="F35" s="168">
        <v>-66.739999999999995</v>
      </c>
      <c r="G35" s="166">
        <v>14.37</v>
      </c>
      <c r="H35" s="166">
        <v>14.37</v>
      </c>
      <c r="I35" s="166">
        <v>3.2</v>
      </c>
      <c r="J35" s="167">
        <v>31.43</v>
      </c>
      <c r="K35" s="167">
        <v>31.94</v>
      </c>
      <c r="L35" s="107">
        <f t="shared" si="4"/>
        <v>772.19999999999993</v>
      </c>
      <c r="M35" s="107">
        <f t="shared" si="1"/>
        <v>-66.739999999999995</v>
      </c>
      <c r="N35" s="107">
        <f t="shared" si="2"/>
        <v>747.24</v>
      </c>
      <c r="O35" s="108">
        <f t="shared" si="5"/>
        <v>680.5</v>
      </c>
      <c r="P35" s="108">
        <f t="shared" si="6"/>
        <v>91.699999999999932</v>
      </c>
      <c r="Q35" s="108">
        <f t="shared" si="3"/>
        <v>747.24</v>
      </c>
      <c r="R35" s="108">
        <f t="shared" si="7"/>
        <v>680.5</v>
      </c>
      <c r="S35" s="108">
        <f t="shared" si="8"/>
        <v>0</v>
      </c>
      <c r="T35" s="108">
        <f t="shared" si="9"/>
        <v>166.4</v>
      </c>
      <c r="U35" s="175">
        <f t="shared" si="10"/>
        <v>514.1</v>
      </c>
    </row>
    <row r="36" spans="1:21" ht="13.5" customHeight="1">
      <c r="A36" s="109" t="s">
        <v>284</v>
      </c>
      <c r="B36" s="110">
        <v>74</v>
      </c>
      <c r="C36" s="110">
        <v>2</v>
      </c>
      <c r="D36" s="110">
        <v>148</v>
      </c>
      <c r="E36" s="164">
        <v>12.5</v>
      </c>
      <c r="F36" s="168">
        <v>-94.94</v>
      </c>
      <c r="G36" s="166">
        <v>11.86</v>
      </c>
      <c r="H36" s="166">
        <v>11.86</v>
      </c>
      <c r="I36" s="166">
        <v>2.83</v>
      </c>
      <c r="J36" s="167">
        <v>29.79</v>
      </c>
      <c r="K36" s="167">
        <v>29.56</v>
      </c>
      <c r="L36" s="107">
        <f t="shared" si="4"/>
        <v>1850</v>
      </c>
      <c r="M36" s="107">
        <f t="shared" si="1"/>
        <v>-189.88</v>
      </c>
      <c r="N36" s="107">
        <f t="shared" si="2"/>
        <v>1755.28</v>
      </c>
      <c r="O36" s="108">
        <f t="shared" si="5"/>
        <v>1565.4</v>
      </c>
      <c r="P36" s="108">
        <f t="shared" si="6"/>
        <v>284.59999999999991</v>
      </c>
      <c r="Q36" s="108">
        <f t="shared" si="3"/>
        <v>1755.28</v>
      </c>
      <c r="R36" s="108">
        <f t="shared" si="7"/>
        <v>1565.4</v>
      </c>
      <c r="S36" s="108">
        <f t="shared" si="8"/>
        <v>0</v>
      </c>
      <c r="T36" s="108">
        <f t="shared" si="9"/>
        <v>418.84000000000003</v>
      </c>
      <c r="U36" s="175">
        <f t="shared" si="10"/>
        <v>1146.56</v>
      </c>
    </row>
    <row r="37" spans="1:21" ht="13.5" customHeight="1">
      <c r="A37" s="109" t="s">
        <v>271</v>
      </c>
      <c r="B37" s="110">
        <v>52</v>
      </c>
      <c r="C37" s="110">
        <v>1</v>
      </c>
      <c r="D37" s="110">
        <v>52</v>
      </c>
      <c r="E37" s="164">
        <v>15.99</v>
      </c>
      <c r="F37" s="168">
        <v>-66.739999999999995</v>
      </c>
      <c r="G37" s="166">
        <v>15.48</v>
      </c>
      <c r="H37" s="166">
        <v>15.48</v>
      </c>
      <c r="I37" s="166">
        <v>3.41</v>
      </c>
      <c r="J37" s="167">
        <v>36.619999999999997</v>
      </c>
      <c r="K37" s="167">
        <v>37.03</v>
      </c>
      <c r="L37" s="107">
        <f t="shared" si="4"/>
        <v>831.48</v>
      </c>
      <c r="M37" s="107">
        <f t="shared" si="1"/>
        <v>-66.739999999999995</v>
      </c>
      <c r="N37" s="107">
        <f t="shared" si="2"/>
        <v>804.96</v>
      </c>
      <c r="O37" s="108">
        <f t="shared" si="5"/>
        <v>738.22</v>
      </c>
      <c r="P37" s="108">
        <f t="shared" si="6"/>
        <v>93.259999999999991</v>
      </c>
      <c r="Q37" s="108">
        <f t="shared" si="3"/>
        <v>804.96</v>
      </c>
      <c r="R37" s="108">
        <f t="shared" si="7"/>
        <v>738.22</v>
      </c>
      <c r="S37" s="108">
        <f t="shared" si="8"/>
        <v>0</v>
      </c>
      <c r="T37" s="108">
        <f t="shared" si="9"/>
        <v>177.32</v>
      </c>
      <c r="U37" s="175">
        <f t="shared" si="10"/>
        <v>560.90000000000009</v>
      </c>
    </row>
    <row r="38" spans="1:21" ht="13.5" customHeight="1">
      <c r="A38" s="109" t="s">
        <v>275</v>
      </c>
      <c r="B38" s="110">
        <v>138</v>
      </c>
      <c r="C38" s="110">
        <v>1</v>
      </c>
      <c r="D38" s="110">
        <v>138</v>
      </c>
      <c r="E38" s="164">
        <v>12.74</v>
      </c>
      <c r="F38" s="168">
        <v>-176.88</v>
      </c>
      <c r="G38" s="166">
        <v>11.59</v>
      </c>
      <c r="H38" s="166">
        <v>11.59</v>
      </c>
      <c r="I38" s="166">
        <v>2.74</v>
      </c>
      <c r="J38" s="167">
        <v>46.87</v>
      </c>
      <c r="K38" s="167">
        <v>43.75</v>
      </c>
      <c r="L38" s="107">
        <f t="shared" si="4"/>
        <v>1758.1200000000001</v>
      </c>
      <c r="M38" s="107">
        <f t="shared" si="1"/>
        <v>-176.88</v>
      </c>
      <c r="N38" s="107">
        <f t="shared" si="2"/>
        <v>1599.42</v>
      </c>
      <c r="O38" s="108">
        <f t="shared" si="5"/>
        <v>1422.54</v>
      </c>
      <c r="P38" s="108">
        <f t="shared" si="6"/>
        <v>335.58000000000015</v>
      </c>
      <c r="Q38" s="108">
        <f t="shared" si="3"/>
        <v>1599.42</v>
      </c>
      <c r="R38" s="108">
        <f t="shared" si="7"/>
        <v>1422.54</v>
      </c>
      <c r="S38" s="108">
        <f t="shared" si="8"/>
        <v>0</v>
      </c>
      <c r="T38" s="108">
        <f t="shared" si="9"/>
        <v>378.12</v>
      </c>
      <c r="U38" s="175">
        <f t="shared" si="10"/>
        <v>1044.42</v>
      </c>
    </row>
    <row r="39" spans="1:21" ht="13.5" customHeight="1">
      <c r="A39" s="109" t="s">
        <v>276</v>
      </c>
      <c r="B39" s="110">
        <v>52</v>
      </c>
      <c r="C39" s="110">
        <v>1</v>
      </c>
      <c r="D39" s="110">
        <v>52</v>
      </c>
      <c r="E39" s="164">
        <v>18.41</v>
      </c>
      <c r="F39" s="168">
        <v>-66.739999999999995</v>
      </c>
      <c r="G39" s="166">
        <v>18.41</v>
      </c>
      <c r="H39" s="166">
        <v>18.41</v>
      </c>
      <c r="I39" s="166">
        <v>3.99</v>
      </c>
      <c r="J39" s="167">
        <v>47.56</v>
      </c>
      <c r="K39" s="167">
        <v>49.46</v>
      </c>
      <c r="L39" s="107">
        <f t="shared" si="4"/>
        <v>957.32</v>
      </c>
      <c r="M39" s="107">
        <f t="shared" si="1"/>
        <v>-66.739999999999995</v>
      </c>
      <c r="N39" s="107">
        <f t="shared" si="2"/>
        <v>957.32</v>
      </c>
      <c r="O39" s="108">
        <f t="shared" si="5"/>
        <v>890.58</v>
      </c>
      <c r="P39" s="108">
        <f t="shared" si="6"/>
        <v>66.740000000000009</v>
      </c>
      <c r="Q39" s="108">
        <f t="shared" si="3"/>
        <v>957.32</v>
      </c>
      <c r="R39" s="108">
        <f t="shared" si="7"/>
        <v>890.58</v>
      </c>
      <c r="S39" s="108">
        <f t="shared" si="8"/>
        <v>0</v>
      </c>
      <c r="T39" s="108">
        <f t="shared" si="9"/>
        <v>207.48000000000002</v>
      </c>
      <c r="U39" s="175">
        <f t="shared" si="10"/>
        <v>683.1</v>
      </c>
    </row>
    <row r="40" spans="1:21" ht="13.5" customHeight="1">
      <c r="A40" s="109" t="s">
        <v>277</v>
      </c>
      <c r="B40" s="110">
        <v>72</v>
      </c>
      <c r="C40" s="110">
        <v>1</v>
      </c>
      <c r="D40" s="110">
        <v>72</v>
      </c>
      <c r="E40" s="164">
        <v>15.83</v>
      </c>
      <c r="F40" s="168">
        <v>-92.38</v>
      </c>
      <c r="G40" s="166">
        <v>15.32</v>
      </c>
      <c r="H40" s="166">
        <v>15.32</v>
      </c>
      <c r="I40" s="166">
        <v>3.48</v>
      </c>
      <c r="J40" s="167">
        <v>44.41</v>
      </c>
      <c r="K40" s="167">
        <v>44.07</v>
      </c>
      <c r="L40" s="107">
        <f t="shared" si="4"/>
        <v>1139.76</v>
      </c>
      <c r="M40" s="107">
        <f t="shared" si="1"/>
        <v>-92.38</v>
      </c>
      <c r="N40" s="107">
        <f t="shared" si="2"/>
        <v>1103.04</v>
      </c>
      <c r="O40" s="108">
        <f t="shared" si="5"/>
        <v>1010.66</v>
      </c>
      <c r="P40" s="108">
        <f t="shared" si="6"/>
        <v>129.10000000000002</v>
      </c>
      <c r="Q40" s="108">
        <f t="shared" si="3"/>
        <v>1103.04</v>
      </c>
      <c r="R40" s="108">
        <f t="shared" si="7"/>
        <v>1010.66</v>
      </c>
      <c r="S40" s="108">
        <f t="shared" si="8"/>
        <v>0</v>
      </c>
      <c r="T40" s="108">
        <f t="shared" si="9"/>
        <v>250.56</v>
      </c>
      <c r="U40" s="175">
        <f t="shared" si="10"/>
        <v>760.09999999999991</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35</v>
      </c>
      <c r="D58" s="7">
        <f>SUM(D7:D57)</f>
        <v>2187.1800000000003</v>
      </c>
      <c r="E58" s="128">
        <f t="shared" ref="E58" si="11">IFERROR(SUMPRODUCT($D$7:$D$57,E7:E57)/$D$58,0)</f>
        <v>15.770848261231357</v>
      </c>
      <c r="F58" s="127">
        <f t="shared" ref="F58" si="12">IFERROR(SUMPRODUCT($D$7:$D$57,F7:F57)/$D$58,0)</f>
        <v>-89.446028447590038</v>
      </c>
      <c r="G58" s="127">
        <f t="shared" ref="G58:I58" si="13">IFERROR(SUMPRODUCT($D$7:$D$57,G7:G57)/$D$58,0)</f>
        <v>14.579539498349471</v>
      </c>
      <c r="H58" s="127">
        <f t="shared" si="13"/>
        <v>14.579539498349471</v>
      </c>
      <c r="I58" s="127">
        <f t="shared" si="13"/>
        <v>3.6857527958375615</v>
      </c>
      <c r="J58" s="127">
        <f>IFERROR(SUMPRODUCT($D$7:$D$57,J7:J57)/$D$58,0)</f>
        <v>41.868442515019332</v>
      </c>
      <c r="K58" s="127">
        <f>IFERROR(SUMPRODUCT($D$7:$D$57,K7:K57)/$D$58,0)</f>
        <v>39.873424409513611</v>
      </c>
      <c r="L58" s="102">
        <f>SUM(L7:L57)</f>
        <v>34493.683900000004</v>
      </c>
      <c r="M58" s="102">
        <f>SUM(M7:M57)</f>
        <v>-2840.7021999999993</v>
      </c>
      <c r="N58" s="102">
        <f t="shared" ref="N58:T58" si="14">SUM(N7:N57)</f>
        <v>31888.0772</v>
      </c>
      <c r="O58" s="102">
        <f t="shared" si="14"/>
        <v>29047.375000000007</v>
      </c>
      <c r="P58" s="102">
        <f t="shared" si="14"/>
        <v>5446.3089</v>
      </c>
      <c r="Q58" s="102">
        <f t="shared" si="14"/>
        <v>31888.0772</v>
      </c>
      <c r="R58" s="102">
        <f t="shared" si="14"/>
        <v>29047.375000000007</v>
      </c>
      <c r="S58" s="102">
        <f t="shared" si="14"/>
        <v>0</v>
      </c>
      <c r="T58" s="102">
        <f t="shared" si="14"/>
        <v>8061.4047999999993</v>
      </c>
      <c r="U58" s="176">
        <f t="shared" ref="U58" si="15">SUM(U7:U57)</f>
        <v>20985.970199999996</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0</v>
      </c>
      <c r="E94" s="152">
        <f>IFERROR(SUMPRODUCT($D$63:$D$93,E63:E93)/$D$94,0)</f>
        <v>0</v>
      </c>
      <c r="F94" s="184">
        <f t="shared" ref="F94:I94" si="26">IFERROR(SUMPRODUCT($D$63:$D$93,F63:F93)/$D$94,0)</f>
        <v>0</v>
      </c>
      <c r="G94" s="152">
        <f t="shared" si="26"/>
        <v>0</v>
      </c>
      <c r="H94" s="152">
        <f t="shared" si="26"/>
        <v>0</v>
      </c>
      <c r="I94" s="152">
        <f t="shared" si="26"/>
        <v>0</v>
      </c>
      <c r="J94" s="13"/>
      <c r="K94" s="119"/>
      <c r="L94" s="153">
        <f>SUM(L63:L93)</f>
        <v>0</v>
      </c>
      <c r="M94" s="153">
        <f t="shared" ref="M94:T94" si="27">SUM(M63:M93)</f>
        <v>0</v>
      </c>
      <c r="N94" s="153">
        <f t="shared" si="27"/>
        <v>0</v>
      </c>
      <c r="O94" s="153">
        <f t="shared" si="27"/>
        <v>0</v>
      </c>
      <c r="P94" s="153">
        <f t="shared" si="27"/>
        <v>0</v>
      </c>
      <c r="Q94" s="153">
        <f t="shared" si="27"/>
        <v>0</v>
      </c>
      <c r="R94" s="153">
        <f t="shared" si="27"/>
        <v>0</v>
      </c>
      <c r="S94" s="153">
        <f t="shared" si="27"/>
        <v>0</v>
      </c>
      <c r="T94" s="153">
        <f t="shared" si="27"/>
        <v>0</v>
      </c>
      <c r="U94" s="179">
        <f t="shared" ref="U94" si="28">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2187.1800000000003</v>
      </c>
      <c r="E96" s="155" t="s">
        <v>22</v>
      </c>
      <c r="F96" s="155" t="s">
        <v>22</v>
      </c>
      <c r="G96" s="155" t="s">
        <v>22</v>
      </c>
      <c r="H96" s="155" t="s">
        <v>22</v>
      </c>
      <c r="I96" s="155" t="s">
        <v>22</v>
      </c>
      <c r="J96" s="122"/>
      <c r="K96" s="123"/>
      <c r="L96" s="156">
        <f>L58+L94</f>
        <v>34493.683900000004</v>
      </c>
      <c r="M96" s="156">
        <f t="shared" ref="M96:T96" si="29">M58+M94</f>
        <v>-2840.7021999999993</v>
      </c>
      <c r="N96" s="156">
        <f t="shared" si="29"/>
        <v>31888.0772</v>
      </c>
      <c r="O96" s="156">
        <f t="shared" si="29"/>
        <v>29047.375000000007</v>
      </c>
      <c r="P96" s="156">
        <f t="shared" si="29"/>
        <v>5446.3089</v>
      </c>
      <c r="Q96" s="156">
        <f t="shared" si="29"/>
        <v>31888.0772</v>
      </c>
      <c r="R96" s="156">
        <f t="shared" si="29"/>
        <v>29047.375000000007</v>
      </c>
      <c r="S96" s="156">
        <f t="shared" ref="S96" si="30">S58+S94</f>
        <v>0</v>
      </c>
      <c r="T96" s="156">
        <f t="shared" si="29"/>
        <v>8061.4047999999993</v>
      </c>
      <c r="U96" s="181">
        <f>U58+U94</f>
        <v>20985.970199999996</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sqref="A1:T1"/>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c r="C6" s="75"/>
      <c r="D6" s="75"/>
      <c r="E6" s="75"/>
      <c r="F6" s="75"/>
      <c r="G6" s="75"/>
      <c r="H6" s="75"/>
      <c r="I6" s="75"/>
      <c r="J6" s="75"/>
      <c r="K6" s="75"/>
      <c r="L6" s="76"/>
      <c r="M6" s="76"/>
      <c r="N6" s="293" t="str">
        <f>IF('EUI &amp; space heating demand'!B6="","",SUM('EUI &amp; space heating demand'!$D$6:$I$7)/SUM('EUI &amp; space heating demand'!$B$6:$B$7))</f>
        <v/>
      </c>
      <c r="O6" s="293" t="str">
        <f>IF('EUI &amp; space heating demand'!B6="","",'EUI &amp; space heating demand'!C6/'EUI &amp; space heating demand'!B6)</f>
        <v/>
      </c>
      <c r="P6" s="293" t="str">
        <f>IF('EUI &amp; space heating demand'!B6="","",Tables!B29)</f>
        <v/>
      </c>
      <c r="Q6" s="293" t="str">
        <f>IF('EUI &amp; space heating demand'!B6="","",Tables!C29)</f>
        <v/>
      </c>
      <c r="R6" s="77"/>
      <c r="S6" s="77"/>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zoomScale="68" zoomScaleNormal="68" workbookViewId="0">
      <selection activeCell="F11" sqref="F11"/>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34.493683900000001</v>
      </c>
      <c r="D8" s="66"/>
      <c r="E8" s="54"/>
      <c r="F8" s="26"/>
      <c r="G8" s="54"/>
      <c r="H8" s="24" t="s">
        <v>69</v>
      </c>
      <c r="I8" s="25">
        <f>'Part L Outputs'!L94/1000</f>
        <v>0</v>
      </c>
      <c r="J8" s="66"/>
      <c r="K8" s="81"/>
      <c r="L8" s="81"/>
      <c r="M8" s="90"/>
    </row>
    <row r="9" spans="1:13" s="27" customFormat="1" ht="45" customHeight="1">
      <c r="B9" s="24" t="s">
        <v>70</v>
      </c>
      <c r="C9" s="25">
        <f>'Part L Outputs'!O58/1000</f>
        <v>29.047375000000006</v>
      </c>
      <c r="D9" s="66"/>
      <c r="E9" s="54"/>
      <c r="F9" s="26"/>
      <c r="G9" s="54"/>
      <c r="H9" s="24" t="s">
        <v>70</v>
      </c>
      <c r="I9" s="25">
        <f>'Part L Outputs'!O94/1000</f>
        <v>0</v>
      </c>
      <c r="J9" s="66"/>
      <c r="K9" s="81"/>
      <c r="L9" s="81"/>
      <c r="M9" s="90"/>
    </row>
    <row r="10" spans="1:13" s="27" customFormat="1" ht="45" customHeight="1">
      <c r="B10" s="24" t="s">
        <v>71</v>
      </c>
      <c r="C10" s="25">
        <f>'Part L Outputs'!R58/1000</f>
        <v>29.047375000000006</v>
      </c>
      <c r="D10" s="66"/>
      <c r="E10" s="54"/>
      <c r="F10" s="26"/>
      <c r="G10" s="54"/>
      <c r="H10" s="24" t="s">
        <v>71</v>
      </c>
      <c r="I10" s="25">
        <f>'Part L Outputs'!R94/1000</f>
        <v>0</v>
      </c>
      <c r="J10" s="66"/>
      <c r="K10" s="81"/>
      <c r="L10" s="81"/>
      <c r="M10" s="90"/>
    </row>
    <row r="11" spans="1:13" s="27" customFormat="1" ht="45" customHeight="1">
      <c r="B11" s="24" t="s">
        <v>72</v>
      </c>
      <c r="C11" s="25">
        <f>'Part L Outputs'!T58/1000</f>
        <v>8.0614048</v>
      </c>
      <c r="D11" s="66"/>
      <c r="E11" s="185"/>
      <c r="F11" s="26"/>
      <c r="G11" s="54"/>
      <c r="H11" s="24" t="s">
        <v>72</v>
      </c>
      <c r="I11" s="25">
        <f>'Part L Outputs'!T94/1000</f>
        <v>0</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5.4463088999999947</v>
      </c>
      <c r="D18" s="31">
        <f>IFERROR(C18/C8,0)</f>
        <v>0.15789293239276175</v>
      </c>
      <c r="E18" s="28"/>
      <c r="F18" s="29"/>
      <c r="G18" s="28"/>
      <c r="H18" s="24" t="s">
        <v>79</v>
      </c>
      <c r="I18" s="25">
        <f>I8-I9</f>
        <v>0</v>
      </c>
      <c r="J18" s="31">
        <f>IFERROR(I18/I8,0)</f>
        <v>0</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20.985970200000004</v>
      </c>
      <c r="D20" s="31">
        <f>IFERROR(C20/C8,0)</f>
        <v>0.60840037442333039</v>
      </c>
      <c r="E20" s="28"/>
      <c r="F20" s="29"/>
      <c r="G20" s="28"/>
      <c r="H20" s="24" t="s">
        <v>81</v>
      </c>
      <c r="I20" s="25">
        <f>I10-I11</f>
        <v>0</v>
      </c>
      <c r="J20" s="31">
        <f>IFERROR(I20/I8,0)</f>
        <v>0</v>
      </c>
      <c r="K20" s="28"/>
      <c r="L20" s="28"/>
      <c r="M20" s="91"/>
    </row>
    <row r="21" spans="2:13" s="30" customFormat="1" ht="45" customHeight="1">
      <c r="B21" s="32" t="s">
        <v>82</v>
      </c>
      <c r="C21" s="33">
        <f>C8-C11</f>
        <v>26.432279100000002</v>
      </c>
      <c r="D21" s="34">
        <f>IFERROR(C21/C8,0)</f>
        <v>0.76629330681609231</v>
      </c>
      <c r="E21" s="28"/>
      <c r="F21" s="29"/>
      <c r="G21" s="28"/>
      <c r="H21" s="32" t="s">
        <v>83</v>
      </c>
      <c r="I21" s="33">
        <f>I8-I11</f>
        <v>0</v>
      </c>
      <c r="J21" s="34">
        <f>IFERROR(I21/I8,0)</f>
        <v>0</v>
      </c>
      <c r="K21" s="92"/>
      <c r="L21" s="28"/>
      <c r="M21" s="91"/>
    </row>
    <row r="22" spans="2:13" s="30" customFormat="1" ht="45" customHeight="1">
      <c r="B22" s="24" t="s">
        <v>84</v>
      </c>
      <c r="C22" s="25">
        <f>(C8-C21)</f>
        <v>8.0614047999999983</v>
      </c>
      <c r="D22" s="35" t="s">
        <v>22</v>
      </c>
      <c r="E22" s="28"/>
      <c r="F22" s="29"/>
      <c r="G22" s="28"/>
      <c r="H22" s="24" t="s">
        <v>84</v>
      </c>
      <c r="I22" s="25">
        <f>(I8-I21)</f>
        <v>0</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241.84214399999996</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22975.003679999994</v>
      </c>
      <c r="D25" s="35"/>
      <c r="E25" s="28"/>
      <c r="F25" s="29"/>
      <c r="G25" s="28"/>
      <c r="H25" s="32" t="s">
        <v>87</v>
      </c>
      <c r="I25" s="36">
        <f>IFERROR(IF('Development Information'!$D$10=0,I22*95*30,I22*'Development Information'!$D$10*30),"")</f>
        <v>0</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34.493683900000001</v>
      </c>
      <c r="D61" s="41"/>
      <c r="E61" s="42"/>
      <c r="F61" s="56">
        <f>$C$61</f>
        <v>34.493683900000001</v>
      </c>
      <c r="G61" s="56"/>
      <c r="H61" s="48" t="s">
        <v>97</v>
      </c>
      <c r="I61" s="49">
        <f>IFERROR('Part L Outputs'!J58,"")</f>
        <v>41.868442515019332</v>
      </c>
      <c r="J61" s="49">
        <f>IFERROR('Part L Outputs'!K58,"")</f>
        <v>39.873424409513611</v>
      </c>
      <c r="K61" s="44">
        <f>IFERROR(1-J61/I61,"")</f>
        <v>4.764968519643531E-2</v>
      </c>
      <c r="L61" s="55"/>
      <c r="M61" s="91"/>
    </row>
    <row r="62" spans="1:13" s="30" customFormat="1" ht="40.15" customHeight="1">
      <c r="B62" s="43" t="s">
        <v>98</v>
      </c>
      <c r="C62" s="40">
        <f>'Part L Outputs'!O96/1000</f>
        <v>29.047375000000006</v>
      </c>
      <c r="D62" s="40">
        <f>C61-C62</f>
        <v>5.4463088999999947</v>
      </c>
      <c r="E62" s="44">
        <f>IFERROR(D62/C61,0)</f>
        <v>0.15789293239276175</v>
      </c>
      <c r="F62" s="56">
        <f>$C$61</f>
        <v>34.493683900000001</v>
      </c>
      <c r="G62" s="56"/>
      <c r="H62" s="28"/>
      <c r="I62" s="73"/>
      <c r="J62" s="73"/>
      <c r="K62" s="28"/>
      <c r="L62" s="55"/>
      <c r="M62" s="91"/>
    </row>
    <row r="63" spans="1:13" s="30" customFormat="1" ht="40.15" customHeight="1">
      <c r="B63" s="43" t="s">
        <v>99</v>
      </c>
      <c r="C63" s="40">
        <f>'Part L Outputs'!R96/1000</f>
        <v>29.047375000000006</v>
      </c>
      <c r="D63" s="40">
        <f>C62-C63</f>
        <v>0</v>
      </c>
      <c r="E63" s="44">
        <f>IFERROR(D63/C61,0)</f>
        <v>0</v>
      </c>
      <c r="F63" s="56">
        <f>$C$61</f>
        <v>34.493683900000001</v>
      </c>
      <c r="G63" s="56"/>
      <c r="H63" s="28"/>
      <c r="I63" s="73"/>
      <c r="J63" s="73"/>
      <c r="K63" s="28"/>
      <c r="L63" s="55"/>
      <c r="M63" s="91"/>
    </row>
    <row r="64" spans="1:13" s="30" customFormat="1" ht="66">
      <c r="B64" s="43" t="s">
        <v>100</v>
      </c>
      <c r="C64" s="40">
        <f>'Part L Outputs'!T96/1000</f>
        <v>8.0614048</v>
      </c>
      <c r="D64" s="40">
        <f>C63-C64</f>
        <v>20.985970200000004</v>
      </c>
      <c r="E64" s="44">
        <f>IFERROR(D64/C61,0)</f>
        <v>0.60840037442333039</v>
      </c>
      <c r="F64" s="56">
        <f>$C$61</f>
        <v>34.493683900000001</v>
      </c>
      <c r="G64" s="56"/>
      <c r="H64" s="71"/>
      <c r="I64" s="71" t="s">
        <v>258</v>
      </c>
      <c r="J64" s="71" t="s">
        <v>158</v>
      </c>
      <c r="K64" s="28"/>
      <c r="L64" s="55"/>
      <c r="M64" s="91"/>
    </row>
    <row r="65" spans="1:14" s="30" customFormat="1" ht="40.15" customHeight="1">
      <c r="B65" s="43" t="s">
        <v>101</v>
      </c>
      <c r="C65" s="45" t="s">
        <v>22</v>
      </c>
      <c r="D65" s="40">
        <f>SUM(D62:D64)</f>
        <v>26.432279099999999</v>
      </c>
      <c r="E65" s="44">
        <f>IFERROR(D65/C61,0)</f>
        <v>0.7662933068160922</v>
      </c>
      <c r="F65" s="56">
        <f>$C$61</f>
        <v>34.493683900000001</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241.84214399999996</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6" t="str">
        <f>IF('EUI &amp; space heating demand'!$B$6="","",CONCATENATE('EUI &amp; space heating demand'!R6, " &amp; ", 'EUI &amp; space heating demand'!S6,  " dwellings / ", 'EUI &amp; space heating demand'!R7, " &amp; ", 'EUI &amp; space heating demand'!S7, " Landlord Circulation " ))</f>
        <v/>
      </c>
      <c r="H72" s="317"/>
      <c r="I72" s="297" t="str">
        <f>IF('EUI &amp; space heating demand'!T6="","", CONCATENATE('EUI &amp; space heating demand'!T6, " &amp; ", 'EUI &amp; space heating demand'!T7))</f>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11" t="str">
        <f>IF('EUI &amp; space heating demand'!B13="","",CONCATENATE('EUI &amp; space heating demand'!R13," &amp; ",'EUI &amp; space heating demand'!S13))</f>
        <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34.493683900000001</v>
      </c>
      <c r="E7" s="135">
        <f t="shared" ref="E7:E12" si="0">D7*0.65</f>
        <v>22.420894535000002</v>
      </c>
    </row>
    <row r="8" spans="1:5">
      <c r="A8" s="134" t="s">
        <v>98</v>
      </c>
      <c r="B8" s="136">
        <f>'GLA Summary Tables'!C9</f>
        <v>29.047375000000006</v>
      </c>
      <c r="C8" s="136">
        <f>IF(B8&lt;0,IF('GLA Summary Tables'!C18&lt;0,0,'GLA Summary Tables'!C18)+B8,IF('GLA Summary Tables'!C18&lt;0,0,'GLA Summary Tables'!C18))</f>
        <v>5.4463088999999947</v>
      </c>
      <c r="D8" s="135">
        <f>'GLA Summary Tables'!C$8</f>
        <v>34.493683900000001</v>
      </c>
      <c r="E8" s="135">
        <f t="shared" si="0"/>
        <v>22.420894535000002</v>
      </c>
    </row>
    <row r="9" spans="1:5">
      <c r="A9" s="134" t="s">
        <v>112</v>
      </c>
      <c r="B9" s="136">
        <f>'GLA Summary Tables'!C10</f>
        <v>29.047375000000006</v>
      </c>
      <c r="C9" s="136">
        <f>IF(B9&lt;0,IF('GLA Summary Tables'!C19&lt;0,0,'GLA Summary Tables'!C19)+B9,IF('GLA Summary Tables'!C19&lt;0,0,'GLA Summary Tables'!C19))</f>
        <v>0</v>
      </c>
      <c r="D9" s="135">
        <f>'GLA Summary Tables'!C$8</f>
        <v>34.493683900000001</v>
      </c>
      <c r="E9" s="135">
        <f t="shared" si="0"/>
        <v>22.420894535000002</v>
      </c>
    </row>
    <row r="10" spans="1:5">
      <c r="A10" s="134" t="s">
        <v>113</v>
      </c>
      <c r="B10" s="136">
        <f>'GLA Summary Tables'!C11</f>
        <v>8.0614048</v>
      </c>
      <c r="C10" s="136">
        <f>IF(B10&lt;0,IF('GLA Summary Tables'!C20&lt;0,0,'GLA Summary Tables'!C20)+B10,IF('GLA Summary Tables'!C20&lt;0,0,'GLA Summary Tables'!C20))</f>
        <v>20.985970200000004</v>
      </c>
      <c r="D10" s="135">
        <f>'GLA Summary Tables'!C$8</f>
        <v>34.493683900000001</v>
      </c>
      <c r="E10" s="135">
        <f t="shared" si="0"/>
        <v>22.420894535000002</v>
      </c>
    </row>
    <row r="11" spans="1:5">
      <c r="A11" s="134" t="s">
        <v>114</v>
      </c>
      <c r="B11" s="136">
        <v>0</v>
      </c>
      <c r="C11" s="136">
        <f>'GLA Summary Tables'!C22</f>
        <v>8.0614047999999983</v>
      </c>
      <c r="D11" s="135">
        <f>'GLA Summary Tables'!C$8</f>
        <v>34.493683900000001</v>
      </c>
      <c r="E11" s="135">
        <f t="shared" si="0"/>
        <v>22.420894535000002</v>
      </c>
    </row>
    <row r="12" spans="1:5">
      <c r="A12" s="134"/>
      <c r="B12" s="133"/>
      <c r="C12" s="133"/>
      <c r="D12" s="135">
        <f>'GLA Summary Tables'!C$8</f>
        <v>34.493683900000001</v>
      </c>
      <c r="E12" s="135">
        <f t="shared" si="0"/>
        <v>22.420894535000002</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14991CA3-7BC7-4E16-9A27-160EA9B2A0BB}">
  <ds:schemaRefs>
    <ds:schemaRef ds:uri="http://schemas.microsoft.com/office/2006/metadata/propertie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bbc29c1b-c0f5-4a69-9064-42075bd51526"/>
    <ds:schemaRef ds:uri="http://schemas.openxmlformats.org/package/2006/metadata/core-properties"/>
    <ds:schemaRef ds:uri="30d58efb-e8bf-4261-b5e6-27ac039971e3"/>
    <ds:schemaRef ds:uri="http://purl.org/dc/dcmitype/"/>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2023-05-12T08:02:14Z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